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omw\Documents\Blog\"/>
    </mc:Choice>
  </mc:AlternateContent>
  <bookViews>
    <workbookView xWindow="0" yWindow="0" windowWidth="19200" windowHeight="6816"/>
  </bookViews>
  <sheets>
    <sheet name="Deeppockets" sheetId="1" r:id="rId1"/>
  </sheets>
  <definedNames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42530.3465162037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</definedNames>
  <calcPr calcId="152511"/>
</workbook>
</file>

<file path=xl/calcChain.xml><?xml version="1.0" encoding="utf-8"?>
<calcChain xmlns="http://schemas.openxmlformats.org/spreadsheetml/2006/main">
  <c r="D27" i="1" l="1"/>
  <c r="D12" i="1"/>
  <c r="D15" i="1" s="1"/>
  <c r="D11" i="1"/>
  <c r="D37" i="1"/>
  <c r="D30" i="1" s="1"/>
  <c r="D38" i="1"/>
  <c r="D34" i="1"/>
  <c r="I17" i="1" l="1"/>
  <c r="I15" i="1"/>
  <c r="Q24" i="1" l="1"/>
  <c r="Q20" i="1"/>
  <c r="Q18" i="1"/>
  <c r="J15" i="1" l="1"/>
  <c r="K15" i="1" s="1"/>
  <c r="L15" i="1" s="1"/>
  <c r="I19" i="1"/>
  <c r="Q23" i="1" l="1"/>
  <c r="J19" i="1"/>
  <c r="H36" i="1"/>
  <c r="M15" i="1"/>
  <c r="J17" i="1"/>
  <c r="I11" i="1"/>
  <c r="I8" i="1" s="1"/>
  <c r="I12" i="1" l="1"/>
  <c r="I14" i="1" s="1"/>
  <c r="I16" i="1" s="1"/>
  <c r="H37" i="1" l="1"/>
  <c r="H33" i="1"/>
  <c r="H34" i="1"/>
  <c r="I18" i="1"/>
  <c r="I21" i="1" l="1"/>
  <c r="H38" i="1"/>
  <c r="H35" i="1"/>
  <c r="H24" i="1"/>
  <c r="H26" i="1" s="1"/>
  <c r="H39" i="1" s="1"/>
  <c r="Q11" i="1"/>
  <c r="Q14" i="1" l="1"/>
  <c r="Q12" i="1"/>
  <c r="Q13" i="1" s="1"/>
  <c r="K19" i="1"/>
  <c r="L19" i="1" s="1"/>
  <c r="M19" i="1" s="1"/>
  <c r="D6" i="1"/>
  <c r="Q17" i="1" l="1"/>
  <c r="Q19" i="1" s="1"/>
  <c r="I22" i="1"/>
  <c r="I23" i="1" s="1"/>
  <c r="I26" i="1" s="1"/>
  <c r="J11" i="1"/>
  <c r="K11" i="1" s="1"/>
  <c r="H40" i="1" l="1"/>
  <c r="H32" i="1"/>
  <c r="Q25" i="1"/>
  <c r="Q21" i="1"/>
  <c r="J12" i="1"/>
  <c r="J14" i="1" s="1"/>
  <c r="J8" i="1"/>
  <c r="K8" i="1"/>
  <c r="K12" i="1"/>
  <c r="K14" i="1" s="1"/>
  <c r="L11" i="1"/>
  <c r="M17" i="1"/>
  <c r="K17" i="1"/>
  <c r="L17" i="1"/>
  <c r="H31" i="1" l="1"/>
  <c r="J16" i="1"/>
  <c r="J18" i="1" s="1"/>
  <c r="J21" i="1" s="1"/>
  <c r="K16" i="1"/>
  <c r="K18" i="1" s="1"/>
  <c r="Q28" i="1"/>
  <c r="Q29" i="1"/>
  <c r="L12" i="1"/>
  <c r="L14" i="1" s="1"/>
  <c r="M11" i="1"/>
  <c r="L8" i="1"/>
  <c r="L16" i="1" l="1"/>
  <c r="L18" i="1" s="1"/>
  <c r="L21" i="1" s="1"/>
  <c r="L22" i="1" s="1"/>
  <c r="L23" i="1" s="1"/>
  <c r="L26" i="1" s="1"/>
  <c r="J22" i="1"/>
  <c r="J23" i="1" s="1"/>
  <c r="J26" i="1" s="1"/>
  <c r="Q15" i="1"/>
  <c r="K21" i="1"/>
  <c r="K22" i="1" s="1"/>
  <c r="K23" i="1" s="1"/>
  <c r="K26" i="1" s="1"/>
  <c r="M8" i="1"/>
  <c r="M12" i="1"/>
  <c r="M14" i="1" s="1"/>
  <c r="M16" i="1" s="1"/>
  <c r="M18" i="1" s="1"/>
  <c r="Q27" i="1" l="1"/>
  <c r="Q30" i="1" s="1"/>
  <c r="M25" i="1" s="1"/>
  <c r="M21" i="1"/>
  <c r="M22" i="1" s="1"/>
  <c r="M23" i="1" s="1"/>
  <c r="M26" i="1" l="1"/>
  <c r="H44" i="1" l="1"/>
  <c r="H43" i="1"/>
</calcChain>
</file>

<file path=xl/sharedStrings.xml><?xml version="1.0" encoding="utf-8"?>
<sst xmlns="http://schemas.openxmlformats.org/spreadsheetml/2006/main" count="89" uniqueCount="84">
  <si>
    <t>Subject Property</t>
  </si>
  <si>
    <t>Address</t>
  </si>
  <si>
    <t>Discription</t>
  </si>
  <si>
    <t>Date</t>
  </si>
  <si>
    <t>Inputs</t>
  </si>
  <si>
    <t>Purchase Price</t>
  </si>
  <si>
    <t>Monthly PGI</t>
  </si>
  <si>
    <t>Land Value</t>
  </si>
  <si>
    <t>Termination (Reversion) Statement</t>
  </si>
  <si>
    <t>Improvement Value</t>
  </si>
  <si>
    <t>Potential Gross Income</t>
  </si>
  <si>
    <t>Gross Future Sales Price</t>
  </si>
  <si>
    <t>Initial Equity Investment</t>
  </si>
  <si>
    <t>Less Vacancy &amp; Collection Loss</t>
  </si>
  <si>
    <t>Less Selling Expenses</t>
  </si>
  <si>
    <t>Investors Required Rate of Return</t>
  </si>
  <si>
    <t>Plus Other Income</t>
  </si>
  <si>
    <t>Net Sales Proceeds</t>
  </si>
  <si>
    <t>Financing Information</t>
  </si>
  <si>
    <t>Effective Gross Income</t>
  </si>
  <si>
    <t>Less Mortgage Balance</t>
  </si>
  <si>
    <t>Mortgage Amount</t>
  </si>
  <si>
    <t>LessOperating Expenses</t>
  </si>
  <si>
    <t>Before Tax Cash on Sale</t>
  </si>
  <si>
    <t>Financing Term (Years)</t>
  </si>
  <si>
    <t>Net Operating Income</t>
  </si>
  <si>
    <t>No. of Payment Per Year</t>
  </si>
  <si>
    <t>Less Annualized Mortgage Payments</t>
  </si>
  <si>
    <t>Annual Mortgage Interest Rate</t>
  </si>
  <si>
    <t>Before Tax Cash Flows</t>
  </si>
  <si>
    <t>Less Cost Basis</t>
  </si>
  <si>
    <t>Less Annual Depreciation</t>
  </si>
  <si>
    <t>Capital Gain (Economic Gain)</t>
  </si>
  <si>
    <t>Tax Information</t>
  </si>
  <si>
    <t>Plus Annual Principal Paid</t>
  </si>
  <si>
    <t>X Capital Gains Rate</t>
  </si>
  <si>
    <t>Depreciable Life (27.5 Res 39 Comm)</t>
  </si>
  <si>
    <t>Taxable Income</t>
  </si>
  <si>
    <t>Capital Gains Taxes</t>
  </si>
  <si>
    <t>Marginal Income Tax Rate</t>
  </si>
  <si>
    <t>Less Taxes from BTCF</t>
  </si>
  <si>
    <t>Capital Gains Tax Rate</t>
  </si>
  <si>
    <t>After-tax Cash Flow from Operations</t>
  </si>
  <si>
    <t>Accumulated Depreciation</t>
  </si>
  <si>
    <t>Recapture Tax Rate</t>
  </si>
  <si>
    <t>X Recapture Tax Rate</t>
  </si>
  <si>
    <t>After-tax Cash on Sale</t>
  </si>
  <si>
    <t>Recapture Taxes</t>
  </si>
  <si>
    <t>Forecast Operating Data</t>
  </si>
  <si>
    <t>Total After-tax Cash Flow</t>
  </si>
  <si>
    <t>Annual Tax Savings@25%</t>
  </si>
  <si>
    <t>Annual Growth in PGI</t>
  </si>
  <si>
    <t>Less Capital Gains Taxes</t>
  </si>
  <si>
    <t>% Annual Vacancy</t>
  </si>
  <si>
    <t>Investment Measures</t>
  </si>
  <si>
    <t>Less Recapture Taxes</t>
  </si>
  <si>
    <t>% Operating Expenses of EFI</t>
  </si>
  <si>
    <t>First Year Measures</t>
  </si>
  <si>
    <t>After Tax Cash on Sale</t>
  </si>
  <si>
    <t>Payback Period (years)</t>
  </si>
  <si>
    <t>Future Sales Information</t>
  </si>
  <si>
    <t>Profit Margin</t>
  </si>
  <si>
    <t>Default or Breakeven Ratio</t>
  </si>
  <si>
    <t>Forecast Future Sales Price</t>
  </si>
  <si>
    <t>Operating Expense Ratio</t>
  </si>
  <si>
    <t>Appreciation Rate</t>
  </si>
  <si>
    <t>Debt Coverage Ratio</t>
  </si>
  <si>
    <t>Future Selling Expenses</t>
  </si>
  <si>
    <t>Loan to Value Ratio</t>
  </si>
  <si>
    <t>Effective Gross Income Multiplier</t>
  </si>
  <si>
    <t>Capitalization Rate</t>
  </si>
  <si>
    <t>Before Tax Cash on Cash Return</t>
  </si>
  <si>
    <t>After Tax Cash on Cash Return</t>
  </si>
  <si>
    <t>Holding Period Measures</t>
  </si>
  <si>
    <t>Net Present Value</t>
  </si>
  <si>
    <t>Internal Rate of Return</t>
  </si>
  <si>
    <t>Year</t>
  </si>
  <si>
    <t>First Year forecast PGI (Rental Rate)</t>
  </si>
  <si>
    <t>Management Fee</t>
  </si>
  <si>
    <t>Taxes</t>
  </si>
  <si>
    <t>[AAA]</t>
  </si>
  <si>
    <t>Insurance</t>
  </si>
  <si>
    <t>Real Estate Model</t>
  </si>
  <si>
    <t>HOA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</si>
</sst>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&quot;$&quot;#,##0.00"/>
  </numFmts>
  <fonts count="7" x14ac:knownFonts="1"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rgb="FF00B0F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1" applyFill="1" applyBorder="1"/>
    <xf numFmtId="0" fontId="1" fillId="0" borderId="0" xfId="1" applyBorder="1"/>
    <xf numFmtId="14" fontId="1" fillId="0" borderId="0" xfId="1" applyNumberFormat="1" applyBorder="1" applyAlignment="1"/>
    <xf numFmtId="0" fontId="1" fillId="0" borderId="0" xfId="1" applyBorder="1" applyAlignment="1"/>
    <xf numFmtId="8" fontId="1" fillId="0" borderId="0" xfId="1" applyNumberFormat="1" applyBorder="1" applyAlignment="1"/>
    <xf numFmtId="0" fontId="2" fillId="0" borderId="0" xfId="1" applyFont="1" applyBorder="1"/>
    <xf numFmtId="164" fontId="0" fillId="0" borderId="0" xfId="2" applyNumberFormat="1" applyFont="1" applyBorder="1"/>
    <xf numFmtId="165" fontId="1" fillId="0" borderId="0" xfId="1" applyNumberFormat="1" applyBorder="1"/>
    <xf numFmtId="165" fontId="0" fillId="0" borderId="0" xfId="2" applyNumberFormat="1" applyFont="1" applyBorder="1"/>
    <xf numFmtId="44" fontId="1" fillId="0" borderId="0" xfId="1" applyNumberFormat="1" applyBorder="1"/>
    <xf numFmtId="9" fontId="0" fillId="0" borderId="0" xfId="3" applyFont="1" applyBorder="1"/>
    <xf numFmtId="0" fontId="1" fillId="0" borderId="0" xfId="1" quotePrefix="1" applyBorder="1" applyAlignment="1">
      <alignment horizontal="left"/>
    </xf>
    <xf numFmtId="37" fontId="1" fillId="0" borderId="0" xfId="1" applyNumberFormat="1" applyBorder="1"/>
    <xf numFmtId="9" fontId="1" fillId="0" borderId="0" xfId="1" applyNumberFormat="1" applyBorder="1"/>
    <xf numFmtId="16" fontId="1" fillId="0" borderId="0" xfId="1" applyNumberFormat="1" applyBorder="1"/>
    <xf numFmtId="10" fontId="1" fillId="0" borderId="0" xfId="1" applyNumberFormat="1" applyBorder="1"/>
    <xf numFmtId="166" fontId="1" fillId="0" borderId="0" xfId="1" applyNumberFormat="1" applyBorder="1"/>
    <xf numFmtId="8" fontId="1" fillId="0" borderId="0" xfId="1" applyNumberFormat="1" applyBorder="1"/>
    <xf numFmtId="0" fontId="3" fillId="2" borderId="0" xfId="1" applyFont="1" applyFill="1" applyBorder="1" applyAlignment="1">
      <alignment horizontal="center"/>
    </xf>
    <xf numFmtId="164" fontId="4" fillId="0" borderId="0" xfId="2" applyNumberFormat="1" applyFont="1" applyBorder="1"/>
    <xf numFmtId="9" fontId="4" fillId="0" borderId="0" xfId="3" applyFont="1" applyBorder="1"/>
    <xf numFmtId="0" fontId="4" fillId="0" borderId="0" xfId="1" applyFont="1" applyBorder="1"/>
    <xf numFmtId="10" fontId="4" fillId="0" borderId="0" xfId="3" applyNumberFormat="1" applyFont="1" applyBorder="1"/>
    <xf numFmtId="166" fontId="0" fillId="0" borderId="0" xfId="3" applyNumberFormat="1" applyFont="1" applyBorder="1"/>
    <xf numFmtId="0" fontId="2" fillId="0" borderId="1" xfId="1" applyFont="1" applyBorder="1"/>
    <xf numFmtId="0" fontId="1" fillId="0" borderId="1" xfId="1" applyBorder="1"/>
    <xf numFmtId="165" fontId="1" fillId="0" borderId="1" xfId="1" applyNumberFormat="1" applyBorder="1"/>
    <xf numFmtId="0" fontId="5" fillId="0" borderId="0" xfId="1" applyFont="1" applyBorder="1"/>
    <xf numFmtId="0" fontId="1" fillId="0" borderId="0" xfId="1" applyBorder="1" applyAlignment="1">
      <alignment horizontal="left" indent="2"/>
    </xf>
    <xf numFmtId="165" fontId="0" fillId="0" borderId="1" xfId="2" applyNumberFormat="1" applyFont="1" applyBorder="1"/>
    <xf numFmtId="0" fontId="1" fillId="0" borderId="0" xfId="1" quotePrefix="1" applyBorder="1" applyAlignment="1">
      <alignment horizontal="left" indent="2"/>
    </xf>
    <xf numFmtId="0" fontId="1" fillId="0" borderId="1" xfId="1" quotePrefix="1" applyBorder="1" applyAlignment="1">
      <alignment horizontal="left"/>
    </xf>
    <xf numFmtId="43" fontId="1" fillId="0" borderId="0" xfId="4" applyFont="1" applyBorder="1"/>
    <xf numFmtId="43" fontId="1" fillId="0" borderId="0" xfId="1" applyNumberFormat="1" applyBorder="1"/>
    <xf numFmtId="43" fontId="1" fillId="0" borderId="1" xfId="4" applyFont="1" applyBorder="1"/>
    <xf numFmtId="10" fontId="1" fillId="0" borderId="1" xfId="5" applyNumberFormat="1" applyFont="1" applyBorder="1"/>
    <xf numFmtId="0" fontId="1" fillId="0" borderId="0" xfId="1" applyBorder="1" applyAlignment="1"/>
    <xf numFmtId="165" fontId="1" fillId="0" borderId="1" xfId="5" applyNumberFormat="1" applyFont="1" applyBorder="1"/>
    <xf numFmtId="9" fontId="4" fillId="0" borderId="0" xfId="2" applyNumberFormat="1" applyFont="1" applyBorder="1"/>
    <xf numFmtId="0" fontId="1" fillId="0" borderId="0" xfId="1" applyBorder="1" applyAlignment="1">
      <alignment horizontal="right"/>
    </xf>
    <xf numFmtId="0" fontId="1" fillId="0" borderId="0" xfId="1" applyFont="1" applyBorder="1" applyAlignment="1">
      <alignment horizontal="left" indent="2"/>
    </xf>
    <xf numFmtId="0" fontId="5" fillId="0" borderId="1" xfId="1" applyFont="1" applyBorder="1"/>
    <xf numFmtId="0" fontId="3" fillId="2" borderId="0" xfId="1" applyFont="1" applyFill="1" applyBorder="1" applyAlignment="1">
      <alignment horizontal="left"/>
    </xf>
    <xf numFmtId="166" fontId="4" fillId="0" borderId="0" xfId="1" applyNumberFormat="1" applyFont="1" applyBorder="1"/>
  </cellXfs>
  <cellStyles count="6">
    <cellStyle name="Comma" xfId="4" builtinId="3"/>
    <cellStyle name="Currency 2" xfId="2"/>
    <cellStyle name="Normal" xfId="0" builtinId="0"/>
    <cellStyle name="Normal 2" xfId="1"/>
    <cellStyle name="Percent" xfId="5" builtinId="5"/>
    <cellStyle name="Percent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zoomScale="85" zoomScaleNormal="85" workbookViewId="0">
      <selection activeCell="G26" sqref="G26"/>
    </sheetView>
  </sheetViews>
  <sheetFormatPr defaultRowHeight="12.3" x14ac:dyDescent="0.4"/>
  <cols>
    <col min="1" max="2" width="2.71875" style="2" customWidth="1"/>
    <col min="3" max="3" width="35" style="2" customWidth="1"/>
    <col min="4" max="4" width="13.71875" style="2" customWidth="1"/>
    <col min="5" max="6" width="2.609375" style="2" customWidth="1"/>
    <col min="7" max="7" width="32.71875" style="2" customWidth="1"/>
    <col min="8" max="8" width="15.71875" style="2" customWidth="1"/>
    <col min="9" max="9" width="12.1640625" style="2" customWidth="1"/>
    <col min="10" max="10" width="14.44140625" style="2" customWidth="1"/>
    <col min="11" max="11" width="10.83203125" style="2" customWidth="1"/>
    <col min="12" max="12" width="12" style="2" customWidth="1"/>
    <col min="13" max="13" width="12.44140625" style="2" customWidth="1"/>
    <col min="14" max="15" width="2.94140625" style="2" customWidth="1"/>
    <col min="16" max="16" width="26.27734375" style="2" customWidth="1"/>
    <col min="17" max="17" width="13" style="2" customWidth="1"/>
    <col min="18" max="18" width="12.27734375" style="2" bestFit="1" customWidth="1"/>
    <col min="19" max="260" width="9.1640625" style="2"/>
    <col min="261" max="261" width="35" style="2" customWidth="1"/>
    <col min="262" max="262" width="13.71875" style="2" customWidth="1"/>
    <col min="263" max="263" width="11.1640625" style="2" customWidth="1"/>
    <col min="264" max="264" width="11.71875" style="2" customWidth="1"/>
    <col min="265" max="265" width="11" style="2" customWidth="1"/>
    <col min="266" max="266" width="11.1640625" style="2" customWidth="1"/>
    <col min="267" max="267" width="12.44140625" style="2" customWidth="1"/>
    <col min="268" max="268" width="3.1640625" style="2" customWidth="1"/>
    <col min="269" max="269" width="25.71875" style="2" customWidth="1"/>
    <col min="270" max="270" width="12.44140625" style="2" customWidth="1"/>
    <col min="271" max="271" width="12.1640625" style="2" customWidth="1"/>
    <col min="272" max="516" width="9.1640625" style="2"/>
    <col min="517" max="517" width="35" style="2" customWidth="1"/>
    <col min="518" max="518" width="13.71875" style="2" customWidth="1"/>
    <col min="519" max="519" width="11.1640625" style="2" customWidth="1"/>
    <col min="520" max="520" width="11.71875" style="2" customWidth="1"/>
    <col min="521" max="521" width="11" style="2" customWidth="1"/>
    <col min="522" max="522" width="11.1640625" style="2" customWidth="1"/>
    <col min="523" max="523" width="12.44140625" style="2" customWidth="1"/>
    <col min="524" max="524" width="3.1640625" style="2" customWidth="1"/>
    <col min="525" max="525" width="25.71875" style="2" customWidth="1"/>
    <col min="526" max="526" width="12.44140625" style="2" customWidth="1"/>
    <col min="527" max="527" width="12.1640625" style="2" customWidth="1"/>
    <col min="528" max="772" width="9.1640625" style="2"/>
    <col min="773" max="773" width="35" style="2" customWidth="1"/>
    <col min="774" max="774" width="13.71875" style="2" customWidth="1"/>
    <col min="775" max="775" width="11.1640625" style="2" customWidth="1"/>
    <col min="776" max="776" width="11.71875" style="2" customWidth="1"/>
    <col min="777" max="777" width="11" style="2" customWidth="1"/>
    <col min="778" max="778" width="11.1640625" style="2" customWidth="1"/>
    <col min="779" max="779" width="12.44140625" style="2" customWidth="1"/>
    <col min="780" max="780" width="3.1640625" style="2" customWidth="1"/>
    <col min="781" max="781" width="25.71875" style="2" customWidth="1"/>
    <col min="782" max="782" width="12.44140625" style="2" customWidth="1"/>
    <col min="783" max="783" width="12.1640625" style="2" customWidth="1"/>
    <col min="784" max="1028" width="9.1640625" style="2"/>
    <col min="1029" max="1029" width="35" style="2" customWidth="1"/>
    <col min="1030" max="1030" width="13.71875" style="2" customWidth="1"/>
    <col min="1031" max="1031" width="11.1640625" style="2" customWidth="1"/>
    <col min="1032" max="1032" width="11.71875" style="2" customWidth="1"/>
    <col min="1033" max="1033" width="11" style="2" customWidth="1"/>
    <col min="1034" max="1034" width="11.1640625" style="2" customWidth="1"/>
    <col min="1035" max="1035" width="12.44140625" style="2" customWidth="1"/>
    <col min="1036" max="1036" width="3.1640625" style="2" customWidth="1"/>
    <col min="1037" max="1037" width="25.71875" style="2" customWidth="1"/>
    <col min="1038" max="1038" width="12.44140625" style="2" customWidth="1"/>
    <col min="1039" max="1039" width="12.1640625" style="2" customWidth="1"/>
    <col min="1040" max="1284" width="9.1640625" style="2"/>
    <col min="1285" max="1285" width="35" style="2" customWidth="1"/>
    <col min="1286" max="1286" width="13.71875" style="2" customWidth="1"/>
    <col min="1287" max="1287" width="11.1640625" style="2" customWidth="1"/>
    <col min="1288" max="1288" width="11.71875" style="2" customWidth="1"/>
    <col min="1289" max="1289" width="11" style="2" customWidth="1"/>
    <col min="1290" max="1290" width="11.1640625" style="2" customWidth="1"/>
    <col min="1291" max="1291" width="12.44140625" style="2" customWidth="1"/>
    <col min="1292" max="1292" width="3.1640625" style="2" customWidth="1"/>
    <col min="1293" max="1293" width="25.71875" style="2" customWidth="1"/>
    <col min="1294" max="1294" width="12.44140625" style="2" customWidth="1"/>
    <col min="1295" max="1295" width="12.1640625" style="2" customWidth="1"/>
    <col min="1296" max="1540" width="9.1640625" style="2"/>
    <col min="1541" max="1541" width="35" style="2" customWidth="1"/>
    <col min="1542" max="1542" width="13.71875" style="2" customWidth="1"/>
    <col min="1543" max="1543" width="11.1640625" style="2" customWidth="1"/>
    <col min="1544" max="1544" width="11.71875" style="2" customWidth="1"/>
    <col min="1545" max="1545" width="11" style="2" customWidth="1"/>
    <col min="1546" max="1546" width="11.1640625" style="2" customWidth="1"/>
    <col min="1547" max="1547" width="12.44140625" style="2" customWidth="1"/>
    <col min="1548" max="1548" width="3.1640625" style="2" customWidth="1"/>
    <col min="1549" max="1549" width="25.71875" style="2" customWidth="1"/>
    <col min="1550" max="1550" width="12.44140625" style="2" customWidth="1"/>
    <col min="1551" max="1551" width="12.1640625" style="2" customWidth="1"/>
    <col min="1552" max="1796" width="9.1640625" style="2"/>
    <col min="1797" max="1797" width="35" style="2" customWidth="1"/>
    <col min="1798" max="1798" width="13.71875" style="2" customWidth="1"/>
    <col min="1799" max="1799" width="11.1640625" style="2" customWidth="1"/>
    <col min="1800" max="1800" width="11.71875" style="2" customWidth="1"/>
    <col min="1801" max="1801" width="11" style="2" customWidth="1"/>
    <col min="1802" max="1802" width="11.1640625" style="2" customWidth="1"/>
    <col min="1803" max="1803" width="12.44140625" style="2" customWidth="1"/>
    <col min="1804" max="1804" width="3.1640625" style="2" customWidth="1"/>
    <col min="1805" max="1805" width="25.71875" style="2" customWidth="1"/>
    <col min="1806" max="1806" width="12.44140625" style="2" customWidth="1"/>
    <col min="1807" max="1807" width="12.1640625" style="2" customWidth="1"/>
    <col min="1808" max="2052" width="9.1640625" style="2"/>
    <col min="2053" max="2053" width="35" style="2" customWidth="1"/>
    <col min="2054" max="2054" width="13.71875" style="2" customWidth="1"/>
    <col min="2055" max="2055" width="11.1640625" style="2" customWidth="1"/>
    <col min="2056" max="2056" width="11.71875" style="2" customWidth="1"/>
    <col min="2057" max="2057" width="11" style="2" customWidth="1"/>
    <col min="2058" max="2058" width="11.1640625" style="2" customWidth="1"/>
    <col min="2059" max="2059" width="12.44140625" style="2" customWidth="1"/>
    <col min="2060" max="2060" width="3.1640625" style="2" customWidth="1"/>
    <col min="2061" max="2061" width="25.71875" style="2" customWidth="1"/>
    <col min="2062" max="2062" width="12.44140625" style="2" customWidth="1"/>
    <col min="2063" max="2063" width="12.1640625" style="2" customWidth="1"/>
    <col min="2064" max="2308" width="9.1640625" style="2"/>
    <col min="2309" max="2309" width="35" style="2" customWidth="1"/>
    <col min="2310" max="2310" width="13.71875" style="2" customWidth="1"/>
    <col min="2311" max="2311" width="11.1640625" style="2" customWidth="1"/>
    <col min="2312" max="2312" width="11.71875" style="2" customWidth="1"/>
    <col min="2313" max="2313" width="11" style="2" customWidth="1"/>
    <col min="2314" max="2314" width="11.1640625" style="2" customWidth="1"/>
    <col min="2315" max="2315" width="12.44140625" style="2" customWidth="1"/>
    <col min="2316" max="2316" width="3.1640625" style="2" customWidth="1"/>
    <col min="2317" max="2317" width="25.71875" style="2" customWidth="1"/>
    <col min="2318" max="2318" width="12.44140625" style="2" customWidth="1"/>
    <col min="2319" max="2319" width="12.1640625" style="2" customWidth="1"/>
    <col min="2320" max="2564" width="9.1640625" style="2"/>
    <col min="2565" max="2565" width="35" style="2" customWidth="1"/>
    <col min="2566" max="2566" width="13.71875" style="2" customWidth="1"/>
    <col min="2567" max="2567" width="11.1640625" style="2" customWidth="1"/>
    <col min="2568" max="2568" width="11.71875" style="2" customWidth="1"/>
    <col min="2569" max="2569" width="11" style="2" customWidth="1"/>
    <col min="2570" max="2570" width="11.1640625" style="2" customWidth="1"/>
    <col min="2571" max="2571" width="12.44140625" style="2" customWidth="1"/>
    <col min="2572" max="2572" width="3.1640625" style="2" customWidth="1"/>
    <col min="2573" max="2573" width="25.71875" style="2" customWidth="1"/>
    <col min="2574" max="2574" width="12.44140625" style="2" customWidth="1"/>
    <col min="2575" max="2575" width="12.1640625" style="2" customWidth="1"/>
    <col min="2576" max="2820" width="9.1640625" style="2"/>
    <col min="2821" max="2821" width="35" style="2" customWidth="1"/>
    <col min="2822" max="2822" width="13.71875" style="2" customWidth="1"/>
    <col min="2823" max="2823" width="11.1640625" style="2" customWidth="1"/>
    <col min="2824" max="2824" width="11.71875" style="2" customWidth="1"/>
    <col min="2825" max="2825" width="11" style="2" customWidth="1"/>
    <col min="2826" max="2826" width="11.1640625" style="2" customWidth="1"/>
    <col min="2827" max="2827" width="12.44140625" style="2" customWidth="1"/>
    <col min="2828" max="2828" width="3.1640625" style="2" customWidth="1"/>
    <col min="2829" max="2829" width="25.71875" style="2" customWidth="1"/>
    <col min="2830" max="2830" width="12.44140625" style="2" customWidth="1"/>
    <col min="2831" max="2831" width="12.1640625" style="2" customWidth="1"/>
    <col min="2832" max="3076" width="9.1640625" style="2"/>
    <col min="3077" max="3077" width="35" style="2" customWidth="1"/>
    <col min="3078" max="3078" width="13.71875" style="2" customWidth="1"/>
    <col min="3079" max="3079" width="11.1640625" style="2" customWidth="1"/>
    <col min="3080" max="3080" width="11.71875" style="2" customWidth="1"/>
    <col min="3081" max="3081" width="11" style="2" customWidth="1"/>
    <col min="3082" max="3082" width="11.1640625" style="2" customWidth="1"/>
    <col min="3083" max="3083" width="12.44140625" style="2" customWidth="1"/>
    <col min="3084" max="3084" width="3.1640625" style="2" customWidth="1"/>
    <col min="3085" max="3085" width="25.71875" style="2" customWidth="1"/>
    <col min="3086" max="3086" width="12.44140625" style="2" customWidth="1"/>
    <col min="3087" max="3087" width="12.1640625" style="2" customWidth="1"/>
    <col min="3088" max="3332" width="9.1640625" style="2"/>
    <col min="3333" max="3333" width="35" style="2" customWidth="1"/>
    <col min="3334" max="3334" width="13.71875" style="2" customWidth="1"/>
    <col min="3335" max="3335" width="11.1640625" style="2" customWidth="1"/>
    <col min="3336" max="3336" width="11.71875" style="2" customWidth="1"/>
    <col min="3337" max="3337" width="11" style="2" customWidth="1"/>
    <col min="3338" max="3338" width="11.1640625" style="2" customWidth="1"/>
    <col min="3339" max="3339" width="12.44140625" style="2" customWidth="1"/>
    <col min="3340" max="3340" width="3.1640625" style="2" customWidth="1"/>
    <col min="3341" max="3341" width="25.71875" style="2" customWidth="1"/>
    <col min="3342" max="3342" width="12.44140625" style="2" customWidth="1"/>
    <col min="3343" max="3343" width="12.1640625" style="2" customWidth="1"/>
    <col min="3344" max="3588" width="9.1640625" style="2"/>
    <col min="3589" max="3589" width="35" style="2" customWidth="1"/>
    <col min="3590" max="3590" width="13.71875" style="2" customWidth="1"/>
    <col min="3591" max="3591" width="11.1640625" style="2" customWidth="1"/>
    <col min="3592" max="3592" width="11.71875" style="2" customWidth="1"/>
    <col min="3593" max="3593" width="11" style="2" customWidth="1"/>
    <col min="3594" max="3594" width="11.1640625" style="2" customWidth="1"/>
    <col min="3595" max="3595" width="12.44140625" style="2" customWidth="1"/>
    <col min="3596" max="3596" width="3.1640625" style="2" customWidth="1"/>
    <col min="3597" max="3597" width="25.71875" style="2" customWidth="1"/>
    <col min="3598" max="3598" width="12.44140625" style="2" customWidth="1"/>
    <col min="3599" max="3599" width="12.1640625" style="2" customWidth="1"/>
    <col min="3600" max="3844" width="9.1640625" style="2"/>
    <col min="3845" max="3845" width="35" style="2" customWidth="1"/>
    <col min="3846" max="3846" width="13.71875" style="2" customWidth="1"/>
    <col min="3847" max="3847" width="11.1640625" style="2" customWidth="1"/>
    <col min="3848" max="3848" width="11.71875" style="2" customWidth="1"/>
    <col min="3849" max="3849" width="11" style="2" customWidth="1"/>
    <col min="3850" max="3850" width="11.1640625" style="2" customWidth="1"/>
    <col min="3851" max="3851" width="12.44140625" style="2" customWidth="1"/>
    <col min="3852" max="3852" width="3.1640625" style="2" customWidth="1"/>
    <col min="3853" max="3853" width="25.71875" style="2" customWidth="1"/>
    <col min="3854" max="3854" width="12.44140625" style="2" customWidth="1"/>
    <col min="3855" max="3855" width="12.1640625" style="2" customWidth="1"/>
    <col min="3856" max="4100" width="9.1640625" style="2"/>
    <col min="4101" max="4101" width="35" style="2" customWidth="1"/>
    <col min="4102" max="4102" width="13.71875" style="2" customWidth="1"/>
    <col min="4103" max="4103" width="11.1640625" style="2" customWidth="1"/>
    <col min="4104" max="4104" width="11.71875" style="2" customWidth="1"/>
    <col min="4105" max="4105" width="11" style="2" customWidth="1"/>
    <col min="4106" max="4106" width="11.1640625" style="2" customWidth="1"/>
    <col min="4107" max="4107" width="12.44140625" style="2" customWidth="1"/>
    <col min="4108" max="4108" width="3.1640625" style="2" customWidth="1"/>
    <col min="4109" max="4109" width="25.71875" style="2" customWidth="1"/>
    <col min="4110" max="4110" width="12.44140625" style="2" customWidth="1"/>
    <col min="4111" max="4111" width="12.1640625" style="2" customWidth="1"/>
    <col min="4112" max="4356" width="9.1640625" style="2"/>
    <col min="4357" max="4357" width="35" style="2" customWidth="1"/>
    <col min="4358" max="4358" width="13.71875" style="2" customWidth="1"/>
    <col min="4359" max="4359" width="11.1640625" style="2" customWidth="1"/>
    <col min="4360" max="4360" width="11.71875" style="2" customWidth="1"/>
    <col min="4361" max="4361" width="11" style="2" customWidth="1"/>
    <col min="4362" max="4362" width="11.1640625" style="2" customWidth="1"/>
    <col min="4363" max="4363" width="12.44140625" style="2" customWidth="1"/>
    <col min="4364" max="4364" width="3.1640625" style="2" customWidth="1"/>
    <col min="4365" max="4365" width="25.71875" style="2" customWidth="1"/>
    <col min="4366" max="4366" width="12.44140625" style="2" customWidth="1"/>
    <col min="4367" max="4367" width="12.1640625" style="2" customWidth="1"/>
    <col min="4368" max="4612" width="9.1640625" style="2"/>
    <col min="4613" max="4613" width="35" style="2" customWidth="1"/>
    <col min="4614" max="4614" width="13.71875" style="2" customWidth="1"/>
    <col min="4615" max="4615" width="11.1640625" style="2" customWidth="1"/>
    <col min="4616" max="4616" width="11.71875" style="2" customWidth="1"/>
    <col min="4617" max="4617" width="11" style="2" customWidth="1"/>
    <col min="4618" max="4618" width="11.1640625" style="2" customWidth="1"/>
    <col min="4619" max="4619" width="12.44140625" style="2" customWidth="1"/>
    <col min="4620" max="4620" width="3.1640625" style="2" customWidth="1"/>
    <col min="4621" max="4621" width="25.71875" style="2" customWidth="1"/>
    <col min="4622" max="4622" width="12.44140625" style="2" customWidth="1"/>
    <col min="4623" max="4623" width="12.1640625" style="2" customWidth="1"/>
    <col min="4624" max="4868" width="9.1640625" style="2"/>
    <col min="4869" max="4869" width="35" style="2" customWidth="1"/>
    <col min="4870" max="4870" width="13.71875" style="2" customWidth="1"/>
    <col min="4871" max="4871" width="11.1640625" style="2" customWidth="1"/>
    <col min="4872" max="4872" width="11.71875" style="2" customWidth="1"/>
    <col min="4873" max="4873" width="11" style="2" customWidth="1"/>
    <col min="4874" max="4874" width="11.1640625" style="2" customWidth="1"/>
    <col min="4875" max="4875" width="12.44140625" style="2" customWidth="1"/>
    <col min="4876" max="4876" width="3.1640625" style="2" customWidth="1"/>
    <col min="4877" max="4877" width="25.71875" style="2" customWidth="1"/>
    <col min="4878" max="4878" width="12.44140625" style="2" customWidth="1"/>
    <col min="4879" max="4879" width="12.1640625" style="2" customWidth="1"/>
    <col min="4880" max="5124" width="9.1640625" style="2"/>
    <col min="5125" max="5125" width="35" style="2" customWidth="1"/>
    <col min="5126" max="5126" width="13.71875" style="2" customWidth="1"/>
    <col min="5127" max="5127" width="11.1640625" style="2" customWidth="1"/>
    <col min="5128" max="5128" width="11.71875" style="2" customWidth="1"/>
    <col min="5129" max="5129" width="11" style="2" customWidth="1"/>
    <col min="5130" max="5130" width="11.1640625" style="2" customWidth="1"/>
    <col min="5131" max="5131" width="12.44140625" style="2" customWidth="1"/>
    <col min="5132" max="5132" width="3.1640625" style="2" customWidth="1"/>
    <col min="5133" max="5133" width="25.71875" style="2" customWidth="1"/>
    <col min="5134" max="5134" width="12.44140625" style="2" customWidth="1"/>
    <col min="5135" max="5135" width="12.1640625" style="2" customWidth="1"/>
    <col min="5136" max="5380" width="9.1640625" style="2"/>
    <col min="5381" max="5381" width="35" style="2" customWidth="1"/>
    <col min="5382" max="5382" width="13.71875" style="2" customWidth="1"/>
    <col min="5383" max="5383" width="11.1640625" style="2" customWidth="1"/>
    <col min="5384" max="5384" width="11.71875" style="2" customWidth="1"/>
    <col min="5385" max="5385" width="11" style="2" customWidth="1"/>
    <col min="5386" max="5386" width="11.1640625" style="2" customWidth="1"/>
    <col min="5387" max="5387" width="12.44140625" style="2" customWidth="1"/>
    <col min="5388" max="5388" width="3.1640625" style="2" customWidth="1"/>
    <col min="5389" max="5389" width="25.71875" style="2" customWidth="1"/>
    <col min="5390" max="5390" width="12.44140625" style="2" customWidth="1"/>
    <col min="5391" max="5391" width="12.1640625" style="2" customWidth="1"/>
    <col min="5392" max="5636" width="9.1640625" style="2"/>
    <col min="5637" max="5637" width="35" style="2" customWidth="1"/>
    <col min="5638" max="5638" width="13.71875" style="2" customWidth="1"/>
    <col min="5639" max="5639" width="11.1640625" style="2" customWidth="1"/>
    <col min="5640" max="5640" width="11.71875" style="2" customWidth="1"/>
    <col min="5641" max="5641" width="11" style="2" customWidth="1"/>
    <col min="5642" max="5642" width="11.1640625" style="2" customWidth="1"/>
    <col min="5643" max="5643" width="12.44140625" style="2" customWidth="1"/>
    <col min="5644" max="5644" width="3.1640625" style="2" customWidth="1"/>
    <col min="5645" max="5645" width="25.71875" style="2" customWidth="1"/>
    <col min="5646" max="5646" width="12.44140625" style="2" customWidth="1"/>
    <col min="5647" max="5647" width="12.1640625" style="2" customWidth="1"/>
    <col min="5648" max="5892" width="9.1640625" style="2"/>
    <col min="5893" max="5893" width="35" style="2" customWidth="1"/>
    <col min="5894" max="5894" width="13.71875" style="2" customWidth="1"/>
    <col min="5895" max="5895" width="11.1640625" style="2" customWidth="1"/>
    <col min="5896" max="5896" width="11.71875" style="2" customWidth="1"/>
    <col min="5897" max="5897" width="11" style="2" customWidth="1"/>
    <col min="5898" max="5898" width="11.1640625" style="2" customWidth="1"/>
    <col min="5899" max="5899" width="12.44140625" style="2" customWidth="1"/>
    <col min="5900" max="5900" width="3.1640625" style="2" customWidth="1"/>
    <col min="5901" max="5901" width="25.71875" style="2" customWidth="1"/>
    <col min="5902" max="5902" width="12.44140625" style="2" customWidth="1"/>
    <col min="5903" max="5903" width="12.1640625" style="2" customWidth="1"/>
    <col min="5904" max="6148" width="9.1640625" style="2"/>
    <col min="6149" max="6149" width="35" style="2" customWidth="1"/>
    <col min="6150" max="6150" width="13.71875" style="2" customWidth="1"/>
    <col min="6151" max="6151" width="11.1640625" style="2" customWidth="1"/>
    <col min="6152" max="6152" width="11.71875" style="2" customWidth="1"/>
    <col min="6153" max="6153" width="11" style="2" customWidth="1"/>
    <col min="6154" max="6154" width="11.1640625" style="2" customWidth="1"/>
    <col min="6155" max="6155" width="12.44140625" style="2" customWidth="1"/>
    <col min="6156" max="6156" width="3.1640625" style="2" customWidth="1"/>
    <col min="6157" max="6157" width="25.71875" style="2" customWidth="1"/>
    <col min="6158" max="6158" width="12.44140625" style="2" customWidth="1"/>
    <col min="6159" max="6159" width="12.1640625" style="2" customWidth="1"/>
    <col min="6160" max="6404" width="9.1640625" style="2"/>
    <col min="6405" max="6405" width="35" style="2" customWidth="1"/>
    <col min="6406" max="6406" width="13.71875" style="2" customWidth="1"/>
    <col min="6407" max="6407" width="11.1640625" style="2" customWidth="1"/>
    <col min="6408" max="6408" width="11.71875" style="2" customWidth="1"/>
    <col min="6409" max="6409" width="11" style="2" customWidth="1"/>
    <col min="6410" max="6410" width="11.1640625" style="2" customWidth="1"/>
    <col min="6411" max="6411" width="12.44140625" style="2" customWidth="1"/>
    <col min="6412" max="6412" width="3.1640625" style="2" customWidth="1"/>
    <col min="6413" max="6413" width="25.71875" style="2" customWidth="1"/>
    <col min="6414" max="6414" width="12.44140625" style="2" customWidth="1"/>
    <col min="6415" max="6415" width="12.1640625" style="2" customWidth="1"/>
    <col min="6416" max="6660" width="9.1640625" style="2"/>
    <col min="6661" max="6661" width="35" style="2" customWidth="1"/>
    <col min="6662" max="6662" width="13.71875" style="2" customWidth="1"/>
    <col min="6663" max="6663" width="11.1640625" style="2" customWidth="1"/>
    <col min="6664" max="6664" width="11.71875" style="2" customWidth="1"/>
    <col min="6665" max="6665" width="11" style="2" customWidth="1"/>
    <col min="6666" max="6666" width="11.1640625" style="2" customWidth="1"/>
    <col min="6667" max="6667" width="12.44140625" style="2" customWidth="1"/>
    <col min="6668" max="6668" width="3.1640625" style="2" customWidth="1"/>
    <col min="6669" max="6669" width="25.71875" style="2" customWidth="1"/>
    <col min="6670" max="6670" width="12.44140625" style="2" customWidth="1"/>
    <col min="6671" max="6671" width="12.1640625" style="2" customWidth="1"/>
    <col min="6672" max="6916" width="9.1640625" style="2"/>
    <col min="6917" max="6917" width="35" style="2" customWidth="1"/>
    <col min="6918" max="6918" width="13.71875" style="2" customWidth="1"/>
    <col min="6919" max="6919" width="11.1640625" style="2" customWidth="1"/>
    <col min="6920" max="6920" width="11.71875" style="2" customWidth="1"/>
    <col min="6921" max="6921" width="11" style="2" customWidth="1"/>
    <col min="6922" max="6922" width="11.1640625" style="2" customWidth="1"/>
    <col min="6923" max="6923" width="12.44140625" style="2" customWidth="1"/>
    <col min="6924" max="6924" width="3.1640625" style="2" customWidth="1"/>
    <col min="6925" max="6925" width="25.71875" style="2" customWidth="1"/>
    <col min="6926" max="6926" width="12.44140625" style="2" customWidth="1"/>
    <col min="6927" max="6927" width="12.1640625" style="2" customWidth="1"/>
    <col min="6928" max="7172" width="9.1640625" style="2"/>
    <col min="7173" max="7173" width="35" style="2" customWidth="1"/>
    <col min="7174" max="7174" width="13.71875" style="2" customWidth="1"/>
    <col min="7175" max="7175" width="11.1640625" style="2" customWidth="1"/>
    <col min="7176" max="7176" width="11.71875" style="2" customWidth="1"/>
    <col min="7177" max="7177" width="11" style="2" customWidth="1"/>
    <col min="7178" max="7178" width="11.1640625" style="2" customWidth="1"/>
    <col min="7179" max="7179" width="12.44140625" style="2" customWidth="1"/>
    <col min="7180" max="7180" width="3.1640625" style="2" customWidth="1"/>
    <col min="7181" max="7181" width="25.71875" style="2" customWidth="1"/>
    <col min="7182" max="7182" width="12.44140625" style="2" customWidth="1"/>
    <col min="7183" max="7183" width="12.1640625" style="2" customWidth="1"/>
    <col min="7184" max="7428" width="9.1640625" style="2"/>
    <col min="7429" max="7429" width="35" style="2" customWidth="1"/>
    <col min="7430" max="7430" width="13.71875" style="2" customWidth="1"/>
    <col min="7431" max="7431" width="11.1640625" style="2" customWidth="1"/>
    <col min="7432" max="7432" width="11.71875" style="2" customWidth="1"/>
    <col min="7433" max="7433" width="11" style="2" customWidth="1"/>
    <col min="7434" max="7434" width="11.1640625" style="2" customWidth="1"/>
    <col min="7435" max="7435" width="12.44140625" style="2" customWidth="1"/>
    <col min="7436" max="7436" width="3.1640625" style="2" customWidth="1"/>
    <col min="7437" max="7437" width="25.71875" style="2" customWidth="1"/>
    <col min="7438" max="7438" width="12.44140625" style="2" customWidth="1"/>
    <col min="7439" max="7439" width="12.1640625" style="2" customWidth="1"/>
    <col min="7440" max="7684" width="9.1640625" style="2"/>
    <col min="7685" max="7685" width="35" style="2" customWidth="1"/>
    <col min="7686" max="7686" width="13.71875" style="2" customWidth="1"/>
    <col min="7687" max="7687" width="11.1640625" style="2" customWidth="1"/>
    <col min="7688" max="7688" width="11.71875" style="2" customWidth="1"/>
    <col min="7689" max="7689" width="11" style="2" customWidth="1"/>
    <col min="7690" max="7690" width="11.1640625" style="2" customWidth="1"/>
    <col min="7691" max="7691" width="12.44140625" style="2" customWidth="1"/>
    <col min="7692" max="7692" width="3.1640625" style="2" customWidth="1"/>
    <col min="7693" max="7693" width="25.71875" style="2" customWidth="1"/>
    <col min="7694" max="7694" width="12.44140625" style="2" customWidth="1"/>
    <col min="7695" max="7695" width="12.1640625" style="2" customWidth="1"/>
    <col min="7696" max="7940" width="9.1640625" style="2"/>
    <col min="7941" max="7941" width="35" style="2" customWidth="1"/>
    <col min="7942" max="7942" width="13.71875" style="2" customWidth="1"/>
    <col min="7943" max="7943" width="11.1640625" style="2" customWidth="1"/>
    <col min="7944" max="7944" width="11.71875" style="2" customWidth="1"/>
    <col min="7945" max="7945" width="11" style="2" customWidth="1"/>
    <col min="7946" max="7946" width="11.1640625" style="2" customWidth="1"/>
    <col min="7947" max="7947" width="12.44140625" style="2" customWidth="1"/>
    <col min="7948" max="7948" width="3.1640625" style="2" customWidth="1"/>
    <col min="7949" max="7949" width="25.71875" style="2" customWidth="1"/>
    <col min="7950" max="7950" width="12.44140625" style="2" customWidth="1"/>
    <col min="7951" max="7951" width="12.1640625" style="2" customWidth="1"/>
    <col min="7952" max="8196" width="9.1640625" style="2"/>
    <col min="8197" max="8197" width="35" style="2" customWidth="1"/>
    <col min="8198" max="8198" width="13.71875" style="2" customWidth="1"/>
    <col min="8199" max="8199" width="11.1640625" style="2" customWidth="1"/>
    <col min="8200" max="8200" width="11.71875" style="2" customWidth="1"/>
    <col min="8201" max="8201" width="11" style="2" customWidth="1"/>
    <col min="8202" max="8202" width="11.1640625" style="2" customWidth="1"/>
    <col min="8203" max="8203" width="12.44140625" style="2" customWidth="1"/>
    <col min="8204" max="8204" width="3.1640625" style="2" customWidth="1"/>
    <col min="8205" max="8205" width="25.71875" style="2" customWidth="1"/>
    <col min="8206" max="8206" width="12.44140625" style="2" customWidth="1"/>
    <col min="8207" max="8207" width="12.1640625" style="2" customWidth="1"/>
    <col min="8208" max="8452" width="9.1640625" style="2"/>
    <col min="8453" max="8453" width="35" style="2" customWidth="1"/>
    <col min="8454" max="8454" width="13.71875" style="2" customWidth="1"/>
    <col min="8455" max="8455" width="11.1640625" style="2" customWidth="1"/>
    <col min="8456" max="8456" width="11.71875" style="2" customWidth="1"/>
    <col min="8457" max="8457" width="11" style="2" customWidth="1"/>
    <col min="8458" max="8458" width="11.1640625" style="2" customWidth="1"/>
    <col min="8459" max="8459" width="12.44140625" style="2" customWidth="1"/>
    <col min="8460" max="8460" width="3.1640625" style="2" customWidth="1"/>
    <col min="8461" max="8461" width="25.71875" style="2" customWidth="1"/>
    <col min="8462" max="8462" width="12.44140625" style="2" customWidth="1"/>
    <col min="8463" max="8463" width="12.1640625" style="2" customWidth="1"/>
    <col min="8464" max="8708" width="9.1640625" style="2"/>
    <col min="8709" max="8709" width="35" style="2" customWidth="1"/>
    <col min="8710" max="8710" width="13.71875" style="2" customWidth="1"/>
    <col min="8711" max="8711" width="11.1640625" style="2" customWidth="1"/>
    <col min="8712" max="8712" width="11.71875" style="2" customWidth="1"/>
    <col min="8713" max="8713" width="11" style="2" customWidth="1"/>
    <col min="8714" max="8714" width="11.1640625" style="2" customWidth="1"/>
    <col min="8715" max="8715" width="12.44140625" style="2" customWidth="1"/>
    <col min="8716" max="8716" width="3.1640625" style="2" customWidth="1"/>
    <col min="8717" max="8717" width="25.71875" style="2" customWidth="1"/>
    <col min="8718" max="8718" width="12.44140625" style="2" customWidth="1"/>
    <col min="8719" max="8719" width="12.1640625" style="2" customWidth="1"/>
    <col min="8720" max="8964" width="9.1640625" style="2"/>
    <col min="8965" max="8965" width="35" style="2" customWidth="1"/>
    <col min="8966" max="8966" width="13.71875" style="2" customWidth="1"/>
    <col min="8967" max="8967" width="11.1640625" style="2" customWidth="1"/>
    <col min="8968" max="8968" width="11.71875" style="2" customWidth="1"/>
    <col min="8969" max="8969" width="11" style="2" customWidth="1"/>
    <col min="8970" max="8970" width="11.1640625" style="2" customWidth="1"/>
    <col min="8971" max="8971" width="12.44140625" style="2" customWidth="1"/>
    <col min="8972" max="8972" width="3.1640625" style="2" customWidth="1"/>
    <col min="8973" max="8973" width="25.71875" style="2" customWidth="1"/>
    <col min="8974" max="8974" width="12.44140625" style="2" customWidth="1"/>
    <col min="8975" max="8975" width="12.1640625" style="2" customWidth="1"/>
    <col min="8976" max="9220" width="9.1640625" style="2"/>
    <col min="9221" max="9221" width="35" style="2" customWidth="1"/>
    <col min="9222" max="9222" width="13.71875" style="2" customWidth="1"/>
    <col min="9223" max="9223" width="11.1640625" style="2" customWidth="1"/>
    <col min="9224" max="9224" width="11.71875" style="2" customWidth="1"/>
    <col min="9225" max="9225" width="11" style="2" customWidth="1"/>
    <col min="9226" max="9226" width="11.1640625" style="2" customWidth="1"/>
    <col min="9227" max="9227" width="12.44140625" style="2" customWidth="1"/>
    <col min="9228" max="9228" width="3.1640625" style="2" customWidth="1"/>
    <col min="9229" max="9229" width="25.71875" style="2" customWidth="1"/>
    <col min="9230" max="9230" width="12.44140625" style="2" customWidth="1"/>
    <col min="9231" max="9231" width="12.1640625" style="2" customWidth="1"/>
    <col min="9232" max="9476" width="9.1640625" style="2"/>
    <col min="9477" max="9477" width="35" style="2" customWidth="1"/>
    <col min="9478" max="9478" width="13.71875" style="2" customWidth="1"/>
    <col min="9479" max="9479" width="11.1640625" style="2" customWidth="1"/>
    <col min="9480" max="9480" width="11.71875" style="2" customWidth="1"/>
    <col min="9481" max="9481" width="11" style="2" customWidth="1"/>
    <col min="9482" max="9482" width="11.1640625" style="2" customWidth="1"/>
    <col min="9483" max="9483" width="12.44140625" style="2" customWidth="1"/>
    <col min="9484" max="9484" width="3.1640625" style="2" customWidth="1"/>
    <col min="9485" max="9485" width="25.71875" style="2" customWidth="1"/>
    <col min="9486" max="9486" width="12.44140625" style="2" customWidth="1"/>
    <col min="9487" max="9487" width="12.1640625" style="2" customWidth="1"/>
    <col min="9488" max="9732" width="9.1640625" style="2"/>
    <col min="9733" max="9733" width="35" style="2" customWidth="1"/>
    <col min="9734" max="9734" width="13.71875" style="2" customWidth="1"/>
    <col min="9735" max="9735" width="11.1640625" style="2" customWidth="1"/>
    <col min="9736" max="9736" width="11.71875" style="2" customWidth="1"/>
    <col min="9737" max="9737" width="11" style="2" customWidth="1"/>
    <col min="9738" max="9738" width="11.1640625" style="2" customWidth="1"/>
    <col min="9739" max="9739" width="12.44140625" style="2" customWidth="1"/>
    <col min="9740" max="9740" width="3.1640625" style="2" customWidth="1"/>
    <col min="9741" max="9741" width="25.71875" style="2" customWidth="1"/>
    <col min="9742" max="9742" width="12.44140625" style="2" customWidth="1"/>
    <col min="9743" max="9743" width="12.1640625" style="2" customWidth="1"/>
    <col min="9744" max="9988" width="9.1640625" style="2"/>
    <col min="9989" max="9989" width="35" style="2" customWidth="1"/>
    <col min="9990" max="9990" width="13.71875" style="2" customWidth="1"/>
    <col min="9991" max="9991" width="11.1640625" style="2" customWidth="1"/>
    <col min="9992" max="9992" width="11.71875" style="2" customWidth="1"/>
    <col min="9993" max="9993" width="11" style="2" customWidth="1"/>
    <col min="9994" max="9994" width="11.1640625" style="2" customWidth="1"/>
    <col min="9995" max="9995" width="12.44140625" style="2" customWidth="1"/>
    <col min="9996" max="9996" width="3.1640625" style="2" customWidth="1"/>
    <col min="9997" max="9997" width="25.71875" style="2" customWidth="1"/>
    <col min="9998" max="9998" width="12.44140625" style="2" customWidth="1"/>
    <col min="9999" max="9999" width="12.1640625" style="2" customWidth="1"/>
    <col min="10000" max="10244" width="9.1640625" style="2"/>
    <col min="10245" max="10245" width="35" style="2" customWidth="1"/>
    <col min="10246" max="10246" width="13.71875" style="2" customWidth="1"/>
    <col min="10247" max="10247" width="11.1640625" style="2" customWidth="1"/>
    <col min="10248" max="10248" width="11.71875" style="2" customWidth="1"/>
    <col min="10249" max="10249" width="11" style="2" customWidth="1"/>
    <col min="10250" max="10250" width="11.1640625" style="2" customWidth="1"/>
    <col min="10251" max="10251" width="12.44140625" style="2" customWidth="1"/>
    <col min="10252" max="10252" width="3.1640625" style="2" customWidth="1"/>
    <col min="10253" max="10253" width="25.71875" style="2" customWidth="1"/>
    <col min="10254" max="10254" width="12.44140625" style="2" customWidth="1"/>
    <col min="10255" max="10255" width="12.1640625" style="2" customWidth="1"/>
    <col min="10256" max="10500" width="9.1640625" style="2"/>
    <col min="10501" max="10501" width="35" style="2" customWidth="1"/>
    <col min="10502" max="10502" width="13.71875" style="2" customWidth="1"/>
    <col min="10503" max="10503" width="11.1640625" style="2" customWidth="1"/>
    <col min="10504" max="10504" width="11.71875" style="2" customWidth="1"/>
    <col min="10505" max="10505" width="11" style="2" customWidth="1"/>
    <col min="10506" max="10506" width="11.1640625" style="2" customWidth="1"/>
    <col min="10507" max="10507" width="12.44140625" style="2" customWidth="1"/>
    <col min="10508" max="10508" width="3.1640625" style="2" customWidth="1"/>
    <col min="10509" max="10509" width="25.71875" style="2" customWidth="1"/>
    <col min="10510" max="10510" width="12.44140625" style="2" customWidth="1"/>
    <col min="10511" max="10511" width="12.1640625" style="2" customWidth="1"/>
    <col min="10512" max="10756" width="9.1640625" style="2"/>
    <col min="10757" max="10757" width="35" style="2" customWidth="1"/>
    <col min="10758" max="10758" width="13.71875" style="2" customWidth="1"/>
    <col min="10759" max="10759" width="11.1640625" style="2" customWidth="1"/>
    <col min="10760" max="10760" width="11.71875" style="2" customWidth="1"/>
    <col min="10761" max="10761" width="11" style="2" customWidth="1"/>
    <col min="10762" max="10762" width="11.1640625" style="2" customWidth="1"/>
    <col min="10763" max="10763" width="12.44140625" style="2" customWidth="1"/>
    <col min="10764" max="10764" width="3.1640625" style="2" customWidth="1"/>
    <col min="10765" max="10765" width="25.71875" style="2" customWidth="1"/>
    <col min="10766" max="10766" width="12.44140625" style="2" customWidth="1"/>
    <col min="10767" max="10767" width="12.1640625" style="2" customWidth="1"/>
    <col min="10768" max="11012" width="9.1640625" style="2"/>
    <col min="11013" max="11013" width="35" style="2" customWidth="1"/>
    <col min="11014" max="11014" width="13.71875" style="2" customWidth="1"/>
    <col min="11015" max="11015" width="11.1640625" style="2" customWidth="1"/>
    <col min="11016" max="11016" width="11.71875" style="2" customWidth="1"/>
    <col min="11017" max="11017" width="11" style="2" customWidth="1"/>
    <col min="11018" max="11018" width="11.1640625" style="2" customWidth="1"/>
    <col min="11019" max="11019" width="12.44140625" style="2" customWidth="1"/>
    <col min="11020" max="11020" width="3.1640625" style="2" customWidth="1"/>
    <col min="11021" max="11021" width="25.71875" style="2" customWidth="1"/>
    <col min="11022" max="11022" width="12.44140625" style="2" customWidth="1"/>
    <col min="11023" max="11023" width="12.1640625" style="2" customWidth="1"/>
    <col min="11024" max="11268" width="9.1640625" style="2"/>
    <col min="11269" max="11269" width="35" style="2" customWidth="1"/>
    <col min="11270" max="11270" width="13.71875" style="2" customWidth="1"/>
    <col min="11271" max="11271" width="11.1640625" style="2" customWidth="1"/>
    <col min="11272" max="11272" width="11.71875" style="2" customWidth="1"/>
    <col min="11273" max="11273" width="11" style="2" customWidth="1"/>
    <col min="11274" max="11274" width="11.1640625" style="2" customWidth="1"/>
    <col min="11275" max="11275" width="12.44140625" style="2" customWidth="1"/>
    <col min="11276" max="11276" width="3.1640625" style="2" customWidth="1"/>
    <col min="11277" max="11277" width="25.71875" style="2" customWidth="1"/>
    <col min="11278" max="11278" width="12.44140625" style="2" customWidth="1"/>
    <col min="11279" max="11279" width="12.1640625" style="2" customWidth="1"/>
    <col min="11280" max="11524" width="9.1640625" style="2"/>
    <col min="11525" max="11525" width="35" style="2" customWidth="1"/>
    <col min="11526" max="11526" width="13.71875" style="2" customWidth="1"/>
    <col min="11527" max="11527" width="11.1640625" style="2" customWidth="1"/>
    <col min="11528" max="11528" width="11.71875" style="2" customWidth="1"/>
    <col min="11529" max="11529" width="11" style="2" customWidth="1"/>
    <col min="11530" max="11530" width="11.1640625" style="2" customWidth="1"/>
    <col min="11531" max="11531" width="12.44140625" style="2" customWidth="1"/>
    <col min="11532" max="11532" width="3.1640625" style="2" customWidth="1"/>
    <col min="11533" max="11533" width="25.71875" style="2" customWidth="1"/>
    <col min="11534" max="11534" width="12.44140625" style="2" customWidth="1"/>
    <col min="11535" max="11535" width="12.1640625" style="2" customWidth="1"/>
    <col min="11536" max="11780" width="9.1640625" style="2"/>
    <col min="11781" max="11781" width="35" style="2" customWidth="1"/>
    <col min="11782" max="11782" width="13.71875" style="2" customWidth="1"/>
    <col min="11783" max="11783" width="11.1640625" style="2" customWidth="1"/>
    <col min="11784" max="11784" width="11.71875" style="2" customWidth="1"/>
    <col min="11785" max="11785" width="11" style="2" customWidth="1"/>
    <col min="11786" max="11786" width="11.1640625" style="2" customWidth="1"/>
    <col min="11787" max="11787" width="12.44140625" style="2" customWidth="1"/>
    <col min="11788" max="11788" width="3.1640625" style="2" customWidth="1"/>
    <col min="11789" max="11789" width="25.71875" style="2" customWidth="1"/>
    <col min="11790" max="11790" width="12.44140625" style="2" customWidth="1"/>
    <col min="11791" max="11791" width="12.1640625" style="2" customWidth="1"/>
    <col min="11792" max="12036" width="9.1640625" style="2"/>
    <col min="12037" max="12037" width="35" style="2" customWidth="1"/>
    <col min="12038" max="12038" width="13.71875" style="2" customWidth="1"/>
    <col min="12039" max="12039" width="11.1640625" style="2" customWidth="1"/>
    <col min="12040" max="12040" width="11.71875" style="2" customWidth="1"/>
    <col min="12041" max="12041" width="11" style="2" customWidth="1"/>
    <col min="12042" max="12042" width="11.1640625" style="2" customWidth="1"/>
    <col min="12043" max="12043" width="12.44140625" style="2" customWidth="1"/>
    <col min="12044" max="12044" width="3.1640625" style="2" customWidth="1"/>
    <col min="12045" max="12045" width="25.71875" style="2" customWidth="1"/>
    <col min="12046" max="12046" width="12.44140625" style="2" customWidth="1"/>
    <col min="12047" max="12047" width="12.1640625" style="2" customWidth="1"/>
    <col min="12048" max="12292" width="9.1640625" style="2"/>
    <col min="12293" max="12293" width="35" style="2" customWidth="1"/>
    <col min="12294" max="12294" width="13.71875" style="2" customWidth="1"/>
    <col min="12295" max="12295" width="11.1640625" style="2" customWidth="1"/>
    <col min="12296" max="12296" width="11.71875" style="2" customWidth="1"/>
    <col min="12297" max="12297" width="11" style="2" customWidth="1"/>
    <col min="12298" max="12298" width="11.1640625" style="2" customWidth="1"/>
    <col min="12299" max="12299" width="12.44140625" style="2" customWidth="1"/>
    <col min="12300" max="12300" width="3.1640625" style="2" customWidth="1"/>
    <col min="12301" max="12301" width="25.71875" style="2" customWidth="1"/>
    <col min="12302" max="12302" width="12.44140625" style="2" customWidth="1"/>
    <col min="12303" max="12303" width="12.1640625" style="2" customWidth="1"/>
    <col min="12304" max="12548" width="9.1640625" style="2"/>
    <col min="12549" max="12549" width="35" style="2" customWidth="1"/>
    <col min="12550" max="12550" width="13.71875" style="2" customWidth="1"/>
    <col min="12551" max="12551" width="11.1640625" style="2" customWidth="1"/>
    <col min="12552" max="12552" width="11.71875" style="2" customWidth="1"/>
    <col min="12553" max="12553" width="11" style="2" customWidth="1"/>
    <col min="12554" max="12554" width="11.1640625" style="2" customWidth="1"/>
    <col min="12555" max="12555" width="12.44140625" style="2" customWidth="1"/>
    <col min="12556" max="12556" width="3.1640625" style="2" customWidth="1"/>
    <col min="12557" max="12557" width="25.71875" style="2" customWidth="1"/>
    <col min="12558" max="12558" width="12.44140625" style="2" customWidth="1"/>
    <col min="12559" max="12559" width="12.1640625" style="2" customWidth="1"/>
    <col min="12560" max="12804" width="9.1640625" style="2"/>
    <col min="12805" max="12805" width="35" style="2" customWidth="1"/>
    <col min="12806" max="12806" width="13.71875" style="2" customWidth="1"/>
    <col min="12807" max="12807" width="11.1640625" style="2" customWidth="1"/>
    <col min="12808" max="12808" width="11.71875" style="2" customWidth="1"/>
    <col min="12809" max="12809" width="11" style="2" customWidth="1"/>
    <col min="12810" max="12810" width="11.1640625" style="2" customWidth="1"/>
    <col min="12811" max="12811" width="12.44140625" style="2" customWidth="1"/>
    <col min="12812" max="12812" width="3.1640625" style="2" customWidth="1"/>
    <col min="12813" max="12813" width="25.71875" style="2" customWidth="1"/>
    <col min="12814" max="12814" width="12.44140625" style="2" customWidth="1"/>
    <col min="12815" max="12815" width="12.1640625" style="2" customWidth="1"/>
    <col min="12816" max="13060" width="9.1640625" style="2"/>
    <col min="13061" max="13061" width="35" style="2" customWidth="1"/>
    <col min="13062" max="13062" width="13.71875" style="2" customWidth="1"/>
    <col min="13063" max="13063" width="11.1640625" style="2" customWidth="1"/>
    <col min="13064" max="13064" width="11.71875" style="2" customWidth="1"/>
    <col min="13065" max="13065" width="11" style="2" customWidth="1"/>
    <col min="13066" max="13066" width="11.1640625" style="2" customWidth="1"/>
    <col min="13067" max="13067" width="12.44140625" style="2" customWidth="1"/>
    <col min="13068" max="13068" width="3.1640625" style="2" customWidth="1"/>
    <col min="13069" max="13069" width="25.71875" style="2" customWidth="1"/>
    <col min="13070" max="13070" width="12.44140625" style="2" customWidth="1"/>
    <col min="13071" max="13071" width="12.1640625" style="2" customWidth="1"/>
    <col min="13072" max="13316" width="9.1640625" style="2"/>
    <col min="13317" max="13317" width="35" style="2" customWidth="1"/>
    <col min="13318" max="13318" width="13.71875" style="2" customWidth="1"/>
    <col min="13319" max="13319" width="11.1640625" style="2" customWidth="1"/>
    <col min="13320" max="13320" width="11.71875" style="2" customWidth="1"/>
    <col min="13321" max="13321" width="11" style="2" customWidth="1"/>
    <col min="13322" max="13322" width="11.1640625" style="2" customWidth="1"/>
    <col min="13323" max="13323" width="12.44140625" style="2" customWidth="1"/>
    <col min="13324" max="13324" width="3.1640625" style="2" customWidth="1"/>
    <col min="13325" max="13325" width="25.71875" style="2" customWidth="1"/>
    <col min="13326" max="13326" width="12.44140625" style="2" customWidth="1"/>
    <col min="13327" max="13327" width="12.1640625" style="2" customWidth="1"/>
    <col min="13328" max="13572" width="9.1640625" style="2"/>
    <col min="13573" max="13573" width="35" style="2" customWidth="1"/>
    <col min="13574" max="13574" width="13.71875" style="2" customWidth="1"/>
    <col min="13575" max="13575" width="11.1640625" style="2" customWidth="1"/>
    <col min="13576" max="13576" width="11.71875" style="2" customWidth="1"/>
    <col min="13577" max="13577" width="11" style="2" customWidth="1"/>
    <col min="13578" max="13578" width="11.1640625" style="2" customWidth="1"/>
    <col min="13579" max="13579" width="12.44140625" style="2" customWidth="1"/>
    <col min="13580" max="13580" width="3.1640625" style="2" customWidth="1"/>
    <col min="13581" max="13581" width="25.71875" style="2" customWidth="1"/>
    <col min="13582" max="13582" width="12.44140625" style="2" customWidth="1"/>
    <col min="13583" max="13583" width="12.1640625" style="2" customWidth="1"/>
    <col min="13584" max="13828" width="9.1640625" style="2"/>
    <col min="13829" max="13829" width="35" style="2" customWidth="1"/>
    <col min="13830" max="13830" width="13.71875" style="2" customWidth="1"/>
    <col min="13831" max="13831" width="11.1640625" style="2" customWidth="1"/>
    <col min="13832" max="13832" width="11.71875" style="2" customWidth="1"/>
    <col min="13833" max="13833" width="11" style="2" customWidth="1"/>
    <col min="13834" max="13834" width="11.1640625" style="2" customWidth="1"/>
    <col min="13835" max="13835" width="12.44140625" style="2" customWidth="1"/>
    <col min="13836" max="13836" width="3.1640625" style="2" customWidth="1"/>
    <col min="13837" max="13837" width="25.71875" style="2" customWidth="1"/>
    <col min="13838" max="13838" width="12.44140625" style="2" customWidth="1"/>
    <col min="13839" max="13839" width="12.1640625" style="2" customWidth="1"/>
    <col min="13840" max="14084" width="9.1640625" style="2"/>
    <col min="14085" max="14085" width="35" style="2" customWidth="1"/>
    <col min="14086" max="14086" width="13.71875" style="2" customWidth="1"/>
    <col min="14087" max="14087" width="11.1640625" style="2" customWidth="1"/>
    <col min="14088" max="14088" width="11.71875" style="2" customWidth="1"/>
    <col min="14089" max="14089" width="11" style="2" customWidth="1"/>
    <col min="14090" max="14090" width="11.1640625" style="2" customWidth="1"/>
    <col min="14091" max="14091" width="12.44140625" style="2" customWidth="1"/>
    <col min="14092" max="14092" width="3.1640625" style="2" customWidth="1"/>
    <col min="14093" max="14093" width="25.71875" style="2" customWidth="1"/>
    <col min="14094" max="14094" width="12.44140625" style="2" customWidth="1"/>
    <col min="14095" max="14095" width="12.1640625" style="2" customWidth="1"/>
    <col min="14096" max="14340" width="9.1640625" style="2"/>
    <col min="14341" max="14341" width="35" style="2" customWidth="1"/>
    <col min="14342" max="14342" width="13.71875" style="2" customWidth="1"/>
    <col min="14343" max="14343" width="11.1640625" style="2" customWidth="1"/>
    <col min="14344" max="14344" width="11.71875" style="2" customWidth="1"/>
    <col min="14345" max="14345" width="11" style="2" customWidth="1"/>
    <col min="14346" max="14346" width="11.1640625" style="2" customWidth="1"/>
    <col min="14347" max="14347" width="12.44140625" style="2" customWidth="1"/>
    <col min="14348" max="14348" width="3.1640625" style="2" customWidth="1"/>
    <col min="14349" max="14349" width="25.71875" style="2" customWidth="1"/>
    <col min="14350" max="14350" width="12.44140625" style="2" customWidth="1"/>
    <col min="14351" max="14351" width="12.1640625" style="2" customWidth="1"/>
    <col min="14352" max="14596" width="9.1640625" style="2"/>
    <col min="14597" max="14597" width="35" style="2" customWidth="1"/>
    <col min="14598" max="14598" width="13.71875" style="2" customWidth="1"/>
    <col min="14599" max="14599" width="11.1640625" style="2" customWidth="1"/>
    <col min="14600" max="14600" width="11.71875" style="2" customWidth="1"/>
    <col min="14601" max="14601" width="11" style="2" customWidth="1"/>
    <col min="14602" max="14602" width="11.1640625" style="2" customWidth="1"/>
    <col min="14603" max="14603" width="12.44140625" style="2" customWidth="1"/>
    <col min="14604" max="14604" width="3.1640625" style="2" customWidth="1"/>
    <col min="14605" max="14605" width="25.71875" style="2" customWidth="1"/>
    <col min="14606" max="14606" width="12.44140625" style="2" customWidth="1"/>
    <col min="14607" max="14607" width="12.1640625" style="2" customWidth="1"/>
    <col min="14608" max="14852" width="9.1640625" style="2"/>
    <col min="14853" max="14853" width="35" style="2" customWidth="1"/>
    <col min="14854" max="14854" width="13.71875" style="2" customWidth="1"/>
    <col min="14855" max="14855" width="11.1640625" style="2" customWidth="1"/>
    <col min="14856" max="14856" width="11.71875" style="2" customWidth="1"/>
    <col min="14857" max="14857" width="11" style="2" customWidth="1"/>
    <col min="14858" max="14858" width="11.1640625" style="2" customWidth="1"/>
    <col min="14859" max="14859" width="12.44140625" style="2" customWidth="1"/>
    <col min="14860" max="14860" width="3.1640625" style="2" customWidth="1"/>
    <col min="14861" max="14861" width="25.71875" style="2" customWidth="1"/>
    <col min="14862" max="14862" width="12.44140625" style="2" customWidth="1"/>
    <col min="14863" max="14863" width="12.1640625" style="2" customWidth="1"/>
    <col min="14864" max="15108" width="9.1640625" style="2"/>
    <col min="15109" max="15109" width="35" style="2" customWidth="1"/>
    <col min="15110" max="15110" width="13.71875" style="2" customWidth="1"/>
    <col min="15111" max="15111" width="11.1640625" style="2" customWidth="1"/>
    <col min="15112" max="15112" width="11.71875" style="2" customWidth="1"/>
    <col min="15113" max="15113" width="11" style="2" customWidth="1"/>
    <col min="15114" max="15114" width="11.1640625" style="2" customWidth="1"/>
    <col min="15115" max="15115" width="12.44140625" style="2" customWidth="1"/>
    <col min="15116" max="15116" width="3.1640625" style="2" customWidth="1"/>
    <col min="15117" max="15117" width="25.71875" style="2" customWidth="1"/>
    <col min="15118" max="15118" width="12.44140625" style="2" customWidth="1"/>
    <col min="15119" max="15119" width="12.1640625" style="2" customWidth="1"/>
    <col min="15120" max="15364" width="9.1640625" style="2"/>
    <col min="15365" max="15365" width="35" style="2" customWidth="1"/>
    <col min="15366" max="15366" width="13.71875" style="2" customWidth="1"/>
    <col min="15367" max="15367" width="11.1640625" style="2" customWidth="1"/>
    <col min="15368" max="15368" width="11.71875" style="2" customWidth="1"/>
    <col min="15369" max="15369" width="11" style="2" customWidth="1"/>
    <col min="15370" max="15370" width="11.1640625" style="2" customWidth="1"/>
    <col min="15371" max="15371" width="12.44140625" style="2" customWidth="1"/>
    <col min="15372" max="15372" width="3.1640625" style="2" customWidth="1"/>
    <col min="15373" max="15373" width="25.71875" style="2" customWidth="1"/>
    <col min="15374" max="15374" width="12.44140625" style="2" customWidth="1"/>
    <col min="15375" max="15375" width="12.1640625" style="2" customWidth="1"/>
    <col min="15376" max="15620" width="9.1640625" style="2"/>
    <col min="15621" max="15621" width="35" style="2" customWidth="1"/>
    <col min="15622" max="15622" width="13.71875" style="2" customWidth="1"/>
    <col min="15623" max="15623" width="11.1640625" style="2" customWidth="1"/>
    <col min="15624" max="15624" width="11.71875" style="2" customWidth="1"/>
    <col min="15625" max="15625" width="11" style="2" customWidth="1"/>
    <col min="15626" max="15626" width="11.1640625" style="2" customWidth="1"/>
    <col min="15627" max="15627" width="12.44140625" style="2" customWidth="1"/>
    <col min="15628" max="15628" width="3.1640625" style="2" customWidth="1"/>
    <col min="15629" max="15629" width="25.71875" style="2" customWidth="1"/>
    <col min="15630" max="15630" width="12.44140625" style="2" customWidth="1"/>
    <col min="15631" max="15631" width="12.1640625" style="2" customWidth="1"/>
    <col min="15632" max="15876" width="9.1640625" style="2"/>
    <col min="15877" max="15877" width="35" style="2" customWidth="1"/>
    <col min="15878" max="15878" width="13.71875" style="2" customWidth="1"/>
    <col min="15879" max="15879" width="11.1640625" style="2" customWidth="1"/>
    <col min="15880" max="15880" width="11.71875" style="2" customWidth="1"/>
    <col min="15881" max="15881" width="11" style="2" customWidth="1"/>
    <col min="15882" max="15882" width="11.1640625" style="2" customWidth="1"/>
    <col min="15883" max="15883" width="12.44140625" style="2" customWidth="1"/>
    <col min="15884" max="15884" width="3.1640625" style="2" customWidth="1"/>
    <col min="15885" max="15885" width="25.71875" style="2" customWidth="1"/>
    <col min="15886" max="15886" width="12.44140625" style="2" customWidth="1"/>
    <col min="15887" max="15887" width="12.1640625" style="2" customWidth="1"/>
    <col min="15888" max="16132" width="9.1640625" style="2"/>
    <col min="16133" max="16133" width="35" style="2" customWidth="1"/>
    <col min="16134" max="16134" width="13.71875" style="2" customWidth="1"/>
    <col min="16135" max="16135" width="11.1640625" style="2" customWidth="1"/>
    <col min="16136" max="16136" width="11.71875" style="2" customWidth="1"/>
    <col min="16137" max="16137" width="11" style="2" customWidth="1"/>
    <col min="16138" max="16138" width="11.1640625" style="2" customWidth="1"/>
    <col min="16139" max="16139" width="12.44140625" style="2" customWidth="1"/>
    <col min="16140" max="16140" width="3.1640625" style="2" customWidth="1"/>
    <col min="16141" max="16141" width="25.71875" style="2" customWidth="1"/>
    <col min="16142" max="16142" width="12.44140625" style="2" customWidth="1"/>
    <col min="16143" max="16143" width="12.1640625" style="2" customWidth="1"/>
    <col min="16144" max="16384" width="9.1640625" style="2"/>
  </cols>
  <sheetData>
    <row r="1" spans="1:18" x14ac:dyDescent="0.4">
      <c r="A1" s="28" t="s">
        <v>82</v>
      </c>
    </row>
    <row r="3" spans="1:18" x14ac:dyDescent="0.4">
      <c r="C3" s="28" t="s">
        <v>0</v>
      </c>
      <c r="D3" s="40" t="s">
        <v>80</v>
      </c>
      <c r="E3" s="40"/>
      <c r="F3" s="37"/>
      <c r="G3" s="37"/>
    </row>
    <row r="4" spans="1:18" x14ac:dyDescent="0.4">
      <c r="C4" s="28" t="s">
        <v>1</v>
      </c>
      <c r="D4" s="40" t="s">
        <v>80</v>
      </c>
      <c r="E4" s="40"/>
      <c r="F4" s="37"/>
      <c r="G4" s="37"/>
    </row>
    <row r="5" spans="1:18" x14ac:dyDescent="0.4">
      <c r="C5" s="28" t="s">
        <v>2</v>
      </c>
      <c r="D5" s="40" t="s">
        <v>80</v>
      </c>
      <c r="E5" s="40"/>
      <c r="F5" s="37"/>
      <c r="G5" s="37"/>
    </row>
    <row r="6" spans="1:18" x14ac:dyDescent="0.4">
      <c r="C6" s="28" t="s">
        <v>3</v>
      </c>
      <c r="D6" s="3">
        <f ca="1">TODAY()</f>
        <v>42713</v>
      </c>
      <c r="E6" s="3"/>
      <c r="F6" s="4"/>
      <c r="G6" s="5"/>
    </row>
    <row r="7" spans="1:18" x14ac:dyDescent="0.4">
      <c r="D7" s="3"/>
      <c r="E7" s="3"/>
      <c r="F7" s="4"/>
      <c r="G7" s="5"/>
      <c r="J7" s="33"/>
    </row>
    <row r="8" spans="1:18" x14ac:dyDescent="0.4">
      <c r="C8" s="42" t="s">
        <v>4</v>
      </c>
      <c r="D8" s="26"/>
      <c r="E8" s="26"/>
      <c r="F8" s="26"/>
      <c r="G8" s="26" t="s">
        <v>6</v>
      </c>
      <c r="H8" s="26"/>
      <c r="I8" s="27">
        <f>SUM(I11/12)</f>
        <v>1200</v>
      </c>
      <c r="J8" s="27">
        <f>SUM(J11/12)</f>
        <v>1241.9999999999998</v>
      </c>
      <c r="K8" s="27">
        <f>SUM(K11/12)</f>
        <v>1285.4699999999998</v>
      </c>
      <c r="L8" s="27">
        <f>SUM(L11/12)</f>
        <v>1330.4614499999996</v>
      </c>
      <c r="M8" s="27">
        <f>SUM(M11/12)</f>
        <v>1377.0276007499995</v>
      </c>
    </row>
    <row r="9" spans="1:18" x14ac:dyDescent="0.4">
      <c r="C9" s="29" t="s">
        <v>5</v>
      </c>
      <c r="D9" s="20">
        <v>135000</v>
      </c>
      <c r="E9" s="20"/>
    </row>
    <row r="10" spans="1:18" ht="14.25" customHeight="1" x14ac:dyDescent="0.4">
      <c r="C10" s="29" t="s">
        <v>7</v>
      </c>
      <c r="D10" s="20">
        <v>30000</v>
      </c>
      <c r="E10" s="20"/>
      <c r="G10" s="43" t="s">
        <v>76</v>
      </c>
      <c r="H10" s="19"/>
      <c r="I10" s="19">
        <v>1</v>
      </c>
      <c r="J10" s="19">
        <v>2</v>
      </c>
      <c r="K10" s="19">
        <v>3</v>
      </c>
      <c r="L10" s="19">
        <v>4</v>
      </c>
      <c r="M10" s="19">
        <v>5</v>
      </c>
      <c r="P10" s="6" t="s">
        <v>8</v>
      </c>
    </row>
    <row r="11" spans="1:18" x14ac:dyDescent="0.4">
      <c r="C11" s="29" t="s">
        <v>9</v>
      </c>
      <c r="D11" s="7">
        <f>D9-D10</f>
        <v>105000</v>
      </c>
      <c r="E11" s="7"/>
      <c r="G11" s="2" t="s">
        <v>10</v>
      </c>
      <c r="I11" s="9">
        <f>D27</f>
        <v>14400</v>
      </c>
      <c r="J11" s="9">
        <f>I11*(1+$D$28)</f>
        <v>14903.999999999998</v>
      </c>
      <c r="K11" s="9">
        <f t="shared" ref="K11:M11" si="0">J11*(1+$D$28)</f>
        <v>15425.639999999998</v>
      </c>
      <c r="L11" s="9">
        <f t="shared" si="0"/>
        <v>15965.537399999996</v>
      </c>
      <c r="M11" s="9">
        <f t="shared" si="0"/>
        <v>16524.331208999993</v>
      </c>
      <c r="P11" s="1" t="s">
        <v>11</v>
      </c>
      <c r="Q11" s="9">
        <f>$D$34</f>
        <v>172298.01093750002</v>
      </c>
      <c r="R11" s="10"/>
    </row>
    <row r="12" spans="1:18" x14ac:dyDescent="0.4">
      <c r="C12" s="29" t="s">
        <v>12</v>
      </c>
      <c r="D12" s="7">
        <f>+D9*0.2</f>
        <v>27000</v>
      </c>
      <c r="E12" s="7"/>
      <c r="G12" s="29" t="s">
        <v>13</v>
      </c>
      <c r="I12" s="9">
        <f>-$D$29*I11</f>
        <v>-720</v>
      </c>
      <c r="J12" s="9">
        <f>-$D$29*J11</f>
        <v>-745.19999999999993</v>
      </c>
      <c r="K12" s="9">
        <f>-$D$29*K11</f>
        <v>-771.28199999999993</v>
      </c>
      <c r="L12" s="9">
        <f>-$D$29*L11</f>
        <v>-798.2768699999998</v>
      </c>
      <c r="M12" s="9">
        <f>-$D$29*M11</f>
        <v>-826.21656044999963</v>
      </c>
      <c r="P12" s="1" t="s">
        <v>14</v>
      </c>
      <c r="Q12" s="9">
        <f>-(Q11*D36)</f>
        <v>-10337.880656250001</v>
      </c>
    </row>
    <row r="13" spans="1:18" x14ac:dyDescent="0.4">
      <c r="C13" s="29" t="s">
        <v>15</v>
      </c>
      <c r="D13" s="21">
        <v>0.08</v>
      </c>
      <c r="E13" s="21"/>
      <c r="G13" s="29" t="s">
        <v>16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P13" s="1" t="s">
        <v>17</v>
      </c>
      <c r="Q13" s="9">
        <f>SUM(Q11:Q12)</f>
        <v>161960.13028125002</v>
      </c>
    </row>
    <row r="14" spans="1:18" x14ac:dyDescent="0.4">
      <c r="C14" s="28" t="s">
        <v>18</v>
      </c>
      <c r="G14" s="26" t="s">
        <v>19</v>
      </c>
      <c r="H14" s="30"/>
      <c r="I14" s="30">
        <f>SUM(I11:I13)</f>
        <v>13680</v>
      </c>
      <c r="J14" s="30">
        <f>SUM(J11:J13)</f>
        <v>14158.799999999997</v>
      </c>
      <c r="K14" s="30">
        <f>SUM(K11:K13)</f>
        <v>14654.357999999998</v>
      </c>
      <c r="L14" s="30">
        <f>SUM(L11:L13)</f>
        <v>15167.260529999996</v>
      </c>
      <c r="M14" s="30">
        <f>SUM(M11:M13)</f>
        <v>15698.114648549992</v>
      </c>
      <c r="P14" s="1" t="s">
        <v>20</v>
      </c>
      <c r="Q14" s="9">
        <f>-PV($D$18/12,($D$16-5)*12,$I$17/12,0,0)</f>
        <v>-99175.030651834662</v>
      </c>
    </row>
    <row r="15" spans="1:18" x14ac:dyDescent="0.4">
      <c r="C15" s="29" t="s">
        <v>21</v>
      </c>
      <c r="D15" s="7">
        <f>+D9-D12</f>
        <v>108000</v>
      </c>
      <c r="E15" s="7"/>
      <c r="G15" s="31" t="s">
        <v>22</v>
      </c>
      <c r="H15" s="9"/>
      <c r="I15" s="9">
        <f>-$D$30</f>
        <v>-4550</v>
      </c>
      <c r="J15" s="9">
        <f>-$D$30*1.02</f>
        <v>-4641</v>
      </c>
      <c r="K15" s="9">
        <f>SUM(J15*1.02)</f>
        <v>-4733.82</v>
      </c>
      <c r="L15" s="9">
        <f>SUM(K15*1.02)</f>
        <v>-4828.4964</v>
      </c>
      <c r="M15" s="9">
        <f>SUM(L15*1.02)</f>
        <v>-4925.0663279999999</v>
      </c>
      <c r="P15" s="1" t="s">
        <v>23</v>
      </c>
      <c r="Q15" s="9">
        <f>SUM(Q13:Q14)</f>
        <v>62785.099629415359</v>
      </c>
    </row>
    <row r="16" spans="1:18" x14ac:dyDescent="0.4">
      <c r="C16" s="31" t="s">
        <v>24</v>
      </c>
      <c r="D16" s="22">
        <v>30</v>
      </c>
      <c r="E16" s="22"/>
      <c r="G16" s="26" t="s">
        <v>25</v>
      </c>
      <c r="H16" s="30"/>
      <c r="I16" s="30">
        <f>SUM(I14:I15)</f>
        <v>9130</v>
      </c>
      <c r="J16" s="30">
        <f>SUM(J14:J15)</f>
        <v>9517.7999999999975</v>
      </c>
      <c r="K16" s="30">
        <f>SUM(K14:K15)</f>
        <v>9920.5379999999986</v>
      </c>
      <c r="L16" s="30">
        <f>SUM(L14:L15)</f>
        <v>10338.764129999996</v>
      </c>
      <c r="M16" s="30">
        <f>SUM(M14:M15)</f>
        <v>10773.048320549991</v>
      </c>
      <c r="P16" s="1"/>
      <c r="Q16" s="13"/>
    </row>
    <row r="17" spans="3:17" x14ac:dyDescent="0.4">
      <c r="C17" s="29" t="s">
        <v>26</v>
      </c>
      <c r="D17" s="22">
        <v>12</v>
      </c>
      <c r="E17" s="22"/>
      <c r="G17" s="29" t="s">
        <v>27</v>
      </c>
      <c r="H17" s="9"/>
      <c r="I17" s="9">
        <f>PMT($D$18/12,($D$16*$D$17),$D$15,0,0)*12</f>
        <v>-6957.2082342373224</v>
      </c>
      <c r="J17" s="9">
        <f>PMT($D$18/12,($D$16*$D$17),$D$15,0,0)*12</f>
        <v>-6957.2082342373224</v>
      </c>
      <c r="K17" s="9">
        <f t="shared" ref="K17:M17" si="1">PMT($D$18/12,($D$16*$D$17),$D$15,0,0)*12</f>
        <v>-6957.2082342373224</v>
      </c>
      <c r="L17" s="9">
        <f t="shared" si="1"/>
        <v>-6957.2082342373224</v>
      </c>
      <c r="M17" s="9">
        <f t="shared" si="1"/>
        <v>-6957.2082342373224</v>
      </c>
      <c r="P17" s="2" t="s">
        <v>17</v>
      </c>
      <c r="Q17" s="9">
        <f>Q13</f>
        <v>161960.13028125002</v>
      </c>
    </row>
    <row r="18" spans="3:17" x14ac:dyDescent="0.4">
      <c r="C18" s="29" t="s">
        <v>28</v>
      </c>
      <c r="D18" s="23">
        <v>0.05</v>
      </c>
      <c r="E18" s="23"/>
      <c r="G18" s="32" t="s">
        <v>29</v>
      </c>
      <c r="H18" s="30"/>
      <c r="I18" s="30">
        <f>SUM(I16:I17)</f>
        <v>2172.7917657626776</v>
      </c>
      <c r="J18" s="30">
        <f>SUM(J16:J17)</f>
        <v>2560.5917657626751</v>
      </c>
      <c r="K18" s="30">
        <f>SUM(K16:K17)</f>
        <v>2963.3297657626763</v>
      </c>
      <c r="L18" s="30">
        <f>SUM(L16:L17)</f>
        <v>3381.5558957626736</v>
      </c>
      <c r="M18" s="30">
        <f>SUM(M16:M17)</f>
        <v>3815.840086312669</v>
      </c>
      <c r="P18" s="2" t="s">
        <v>30</v>
      </c>
      <c r="Q18" s="9">
        <f>-$D$9</f>
        <v>-135000</v>
      </c>
    </row>
    <row r="19" spans="3:17" ht="16.5" customHeight="1" x14ac:dyDescent="0.4">
      <c r="D19" s="11"/>
      <c r="E19" s="11"/>
      <c r="G19" s="29" t="s">
        <v>31</v>
      </c>
      <c r="H19" s="9"/>
      <c r="I19" s="9">
        <f>-($D$11)/$D$21</f>
        <v>-3818.181818181818</v>
      </c>
      <c r="J19" s="9">
        <f>+I19</f>
        <v>-3818.181818181818</v>
      </c>
      <c r="K19" s="9">
        <f>+J19</f>
        <v>-3818.181818181818</v>
      </c>
      <c r="L19" s="9">
        <f>+K19</f>
        <v>-3818.181818181818</v>
      </c>
      <c r="M19" s="9">
        <f>+L19</f>
        <v>-3818.181818181818</v>
      </c>
      <c r="P19" s="2" t="s">
        <v>32</v>
      </c>
      <c r="Q19" s="9">
        <f>SUM(Q17:Q18)</f>
        <v>26960.130281250022</v>
      </c>
    </row>
    <row r="20" spans="3:17" x14ac:dyDescent="0.4">
      <c r="C20" s="28" t="s">
        <v>33</v>
      </c>
      <c r="D20" s="11"/>
      <c r="E20" s="11"/>
      <c r="G20" s="29" t="s">
        <v>34</v>
      </c>
      <c r="H20" s="9"/>
      <c r="I20" s="9">
        <v>0</v>
      </c>
      <c r="J20" s="9">
        <v>0</v>
      </c>
      <c r="K20" s="9">
        <v>0</v>
      </c>
      <c r="L20" s="9">
        <v>0</v>
      </c>
      <c r="M20" s="9">
        <v>0</v>
      </c>
      <c r="P20" s="2" t="s">
        <v>35</v>
      </c>
      <c r="Q20" s="14">
        <f>D23</f>
        <v>0.15</v>
      </c>
    </row>
    <row r="21" spans="3:17" x14ac:dyDescent="0.4">
      <c r="C21" s="31" t="s">
        <v>36</v>
      </c>
      <c r="D21" s="22">
        <v>27.5</v>
      </c>
      <c r="E21" s="22"/>
      <c r="G21" s="26" t="s">
        <v>37</v>
      </c>
      <c r="H21" s="30"/>
      <c r="I21" s="30">
        <f>SUM(I18:I20)</f>
        <v>-1645.3900524191404</v>
      </c>
      <c r="J21" s="30">
        <f>SUM(J18:J20)</f>
        <v>-1257.5900524191429</v>
      </c>
      <c r="K21" s="30">
        <f>SUM(K18:K20)</f>
        <v>-854.85205241914173</v>
      </c>
      <c r="L21" s="30">
        <f>SUM(L18:L20)</f>
        <v>-436.62592241914444</v>
      </c>
      <c r="M21" s="30">
        <f>SUM(M18:M20)</f>
        <v>-2.3417318691490436</v>
      </c>
      <c r="P21" s="2" t="s">
        <v>38</v>
      </c>
      <c r="Q21" s="9">
        <f>IF(Q19&lt;=0,0,Q19*Q20)</f>
        <v>4044.0195421875032</v>
      </c>
    </row>
    <row r="22" spans="3:17" x14ac:dyDescent="0.4">
      <c r="C22" s="29" t="s">
        <v>39</v>
      </c>
      <c r="D22" s="21">
        <v>0.25</v>
      </c>
      <c r="E22" s="21"/>
      <c r="G22" s="29" t="s">
        <v>40</v>
      </c>
      <c r="H22" s="9"/>
      <c r="I22" s="9">
        <f>IF(I21&gt;0,-I21*$D$22,0)</f>
        <v>0</v>
      </c>
      <c r="J22" s="9">
        <f>IF(J21&gt;0,-J21*$D$22,0)</f>
        <v>0</v>
      </c>
      <c r="K22" s="9">
        <f>IF(K21&gt;0,-K21*$D$22,0)</f>
        <v>0</v>
      </c>
      <c r="L22" s="9">
        <f>IF(L21&gt;0,-L21*$D$22,0)</f>
        <v>0</v>
      </c>
      <c r="M22" s="9">
        <f>IF(M21&gt;0,-M21*$D$22,0)</f>
        <v>0</v>
      </c>
      <c r="Q22" s="13"/>
    </row>
    <row r="23" spans="3:17" x14ac:dyDescent="0.4">
      <c r="C23" s="29" t="s">
        <v>41</v>
      </c>
      <c r="D23" s="21">
        <v>0.15</v>
      </c>
      <c r="E23" s="21"/>
      <c r="G23" s="32" t="s">
        <v>42</v>
      </c>
      <c r="H23" s="26"/>
      <c r="I23" s="30">
        <f>I18+I22</f>
        <v>2172.7917657626776</v>
      </c>
      <c r="J23" s="30">
        <f>J18+J22</f>
        <v>2560.5917657626751</v>
      </c>
      <c r="K23" s="30">
        <f>K18+K22</f>
        <v>2963.3297657626763</v>
      </c>
      <c r="L23" s="30">
        <f>L18+L22</f>
        <v>3381.5558957626736</v>
      </c>
      <c r="M23" s="30">
        <f>M18+M22</f>
        <v>3815.840086312669</v>
      </c>
      <c r="P23" s="2" t="s">
        <v>43</v>
      </c>
      <c r="Q23" s="9">
        <f>-I19*5</f>
        <v>19090.909090909088</v>
      </c>
    </row>
    <row r="24" spans="3:17" x14ac:dyDescent="0.4">
      <c r="C24" s="29" t="s">
        <v>44</v>
      </c>
      <c r="D24" s="21">
        <v>0.25</v>
      </c>
      <c r="E24" s="21"/>
      <c r="F24" s="15"/>
      <c r="G24" s="2" t="s">
        <v>12</v>
      </c>
      <c r="H24" s="9">
        <f>-$D$12</f>
        <v>-27000</v>
      </c>
      <c r="I24" s="9"/>
      <c r="J24" s="9"/>
      <c r="K24" s="9"/>
      <c r="L24" s="9"/>
      <c r="M24" s="9"/>
      <c r="P24" s="12" t="s">
        <v>45</v>
      </c>
      <c r="Q24" s="14">
        <f>D24</f>
        <v>0.25</v>
      </c>
    </row>
    <row r="25" spans="3:17" x14ac:dyDescent="0.4">
      <c r="D25" s="11"/>
      <c r="E25" s="11"/>
      <c r="G25" s="2" t="s">
        <v>46</v>
      </c>
      <c r="H25" s="9"/>
      <c r="I25" s="9"/>
      <c r="J25" s="9"/>
      <c r="K25" s="9"/>
      <c r="L25" s="9"/>
      <c r="M25" s="9">
        <f>Q30</f>
        <v>53968.352814500584</v>
      </c>
      <c r="P25" s="2" t="s">
        <v>47</v>
      </c>
      <c r="Q25" s="9">
        <f>IF(Q19&gt;0,Q23*Q24,MAX((Q23-Q19)*Q24,0))</f>
        <v>4772.7272727272721</v>
      </c>
    </row>
    <row r="26" spans="3:17" x14ac:dyDescent="0.4">
      <c r="C26" s="28" t="s">
        <v>48</v>
      </c>
      <c r="D26" s="11"/>
      <c r="E26" s="11"/>
      <c r="G26" s="26" t="s">
        <v>49</v>
      </c>
      <c r="H26" s="30">
        <f>SUM(H24:H25)</f>
        <v>-27000</v>
      </c>
      <c r="I26" s="30">
        <f>SUM(I23:I25)</f>
        <v>2172.7917657626776</v>
      </c>
      <c r="J26" s="30">
        <f>SUM(J23:J25)</f>
        <v>2560.5917657626751</v>
      </c>
      <c r="K26" s="30">
        <f>SUM(K23:K25)</f>
        <v>2963.3297657626763</v>
      </c>
      <c r="L26" s="30">
        <f>SUM(L23:L25)</f>
        <v>3381.5558957626736</v>
      </c>
      <c r="M26" s="30">
        <f>SUM(M23:M25)</f>
        <v>57784.19290081325</v>
      </c>
      <c r="Q26" s="13"/>
    </row>
    <row r="27" spans="3:17" x14ac:dyDescent="0.4">
      <c r="C27" s="29" t="s">
        <v>77</v>
      </c>
      <c r="D27" s="7">
        <f>(1200)*12</f>
        <v>14400</v>
      </c>
      <c r="E27" s="7"/>
      <c r="G27" s="2" t="s">
        <v>50</v>
      </c>
      <c r="I27" s="10"/>
      <c r="J27" s="10"/>
      <c r="K27" s="10"/>
      <c r="L27" s="10"/>
      <c r="M27" s="10"/>
      <c r="P27" s="2" t="s">
        <v>23</v>
      </c>
      <c r="Q27" s="9">
        <f>Q15</f>
        <v>62785.099629415359</v>
      </c>
    </row>
    <row r="28" spans="3:17" x14ac:dyDescent="0.4">
      <c r="C28" s="29" t="s">
        <v>51</v>
      </c>
      <c r="D28" s="21">
        <v>3.5000000000000003E-2</v>
      </c>
      <c r="E28" s="21"/>
      <c r="I28" s="8"/>
      <c r="J28" s="33"/>
      <c r="K28" s="8"/>
      <c r="L28" s="8"/>
      <c r="M28" s="8"/>
      <c r="P28" s="2" t="s">
        <v>52</v>
      </c>
      <c r="Q28" s="9">
        <f>-Q21</f>
        <v>-4044.0195421875032</v>
      </c>
    </row>
    <row r="29" spans="3:17" x14ac:dyDescent="0.4">
      <c r="C29" s="31" t="s">
        <v>53</v>
      </c>
      <c r="D29" s="23">
        <v>0.05</v>
      </c>
      <c r="E29" s="23"/>
      <c r="G29" s="25" t="s">
        <v>54</v>
      </c>
      <c r="H29" s="26"/>
      <c r="I29" s="26"/>
      <c r="J29" s="38"/>
      <c r="K29" s="36"/>
      <c r="L29" s="36"/>
      <c r="M29" s="35"/>
      <c r="P29" s="2" t="s">
        <v>55</v>
      </c>
      <c r="Q29" s="9">
        <f>-Q25</f>
        <v>-4772.7272727272721</v>
      </c>
    </row>
    <row r="30" spans="3:17" x14ac:dyDescent="0.4">
      <c r="C30" s="29" t="s">
        <v>56</v>
      </c>
      <c r="D30" s="24">
        <f>SUM(D37:D40)</f>
        <v>4550</v>
      </c>
      <c r="E30" s="24"/>
      <c r="G30" s="6" t="s">
        <v>57</v>
      </c>
      <c r="P30" s="2" t="s">
        <v>58</v>
      </c>
      <c r="Q30" s="9">
        <f>SUM(Q27:Q29)</f>
        <v>53968.352814500584</v>
      </c>
    </row>
    <row r="31" spans="3:17" x14ac:dyDescent="0.4">
      <c r="D31" s="11"/>
      <c r="E31" s="11"/>
      <c r="G31" s="2" t="s">
        <v>59</v>
      </c>
      <c r="H31" s="33">
        <f>D12/I26</f>
        <v>12.426409389729372</v>
      </c>
    </row>
    <row r="32" spans="3:17" x14ac:dyDescent="0.4">
      <c r="C32" s="28" t="s">
        <v>60</v>
      </c>
      <c r="D32" s="11"/>
      <c r="E32" s="11"/>
      <c r="G32" s="2" t="s">
        <v>61</v>
      </c>
      <c r="H32" s="16">
        <f>I26/I14</f>
        <v>0.15882980743879221</v>
      </c>
    </row>
    <row r="33" spans="3:16" x14ac:dyDescent="0.4">
      <c r="C33" s="6"/>
      <c r="D33" s="11"/>
      <c r="E33" s="11"/>
      <c r="G33" s="2" t="s">
        <v>62</v>
      </c>
      <c r="H33" s="16">
        <f>-(I15+I17)/I14</f>
        <v>0.84117019256120773</v>
      </c>
    </row>
    <row r="34" spans="3:16" x14ac:dyDescent="0.4">
      <c r="C34" s="29" t="s">
        <v>63</v>
      </c>
      <c r="D34" s="7">
        <f>FV(D35,M10,0,-D9)</f>
        <v>172298.01093750002</v>
      </c>
      <c r="E34" s="7"/>
      <c r="G34" s="2" t="s">
        <v>64</v>
      </c>
      <c r="H34" s="16">
        <f>-I15/I14</f>
        <v>0.33260233918128657</v>
      </c>
    </row>
    <row r="35" spans="3:16" x14ac:dyDescent="0.4">
      <c r="C35" s="41" t="s">
        <v>65</v>
      </c>
      <c r="D35" s="39">
        <v>0.05</v>
      </c>
      <c r="E35" s="39"/>
      <c r="G35" s="2" t="s">
        <v>66</v>
      </c>
      <c r="H35" s="33">
        <f>-I16/I17</f>
        <v>1.3123079966286029</v>
      </c>
    </row>
    <row r="36" spans="3:16" x14ac:dyDescent="0.4">
      <c r="C36" s="29" t="s">
        <v>67</v>
      </c>
      <c r="D36" s="21">
        <v>0.06</v>
      </c>
      <c r="E36" s="21"/>
      <c r="G36" s="2" t="s">
        <v>68</v>
      </c>
      <c r="H36" s="16">
        <f>D15/D9</f>
        <v>0.8</v>
      </c>
    </row>
    <row r="37" spans="3:16" x14ac:dyDescent="0.4">
      <c r="C37" s="29" t="s">
        <v>78</v>
      </c>
      <c r="D37" s="17">
        <f>+D27*0.1</f>
        <v>1440</v>
      </c>
      <c r="E37" s="17"/>
      <c r="G37" s="2" t="s">
        <v>69</v>
      </c>
      <c r="H37" s="33">
        <f>D9/I14</f>
        <v>9.8684210526315788</v>
      </c>
      <c r="P37" s="33"/>
    </row>
    <row r="38" spans="3:16" x14ac:dyDescent="0.4">
      <c r="C38" s="29" t="s">
        <v>83</v>
      </c>
      <c r="D38" s="44">
        <f>130*12</f>
        <v>1560</v>
      </c>
      <c r="E38" s="33"/>
      <c r="G38" s="2" t="s">
        <v>70</v>
      </c>
      <c r="H38" s="16">
        <f>I16/D9</f>
        <v>6.7629629629629623E-2</v>
      </c>
      <c r="P38" s="33"/>
    </row>
    <row r="39" spans="3:16" x14ac:dyDescent="0.4">
      <c r="C39" s="29" t="s">
        <v>79</v>
      </c>
      <c r="D39" s="44">
        <v>950</v>
      </c>
      <c r="E39" s="33"/>
      <c r="G39" s="2" t="s">
        <v>71</v>
      </c>
      <c r="H39" s="16">
        <f>-I18/H26</f>
        <v>8.0473769102321388E-2</v>
      </c>
      <c r="P39" s="33"/>
    </row>
    <row r="40" spans="3:16" x14ac:dyDescent="0.4">
      <c r="C40" s="29" t="s">
        <v>81</v>
      </c>
      <c r="D40" s="44">
        <v>600</v>
      </c>
      <c r="G40" s="2" t="s">
        <v>72</v>
      </c>
      <c r="H40" s="16">
        <f>-I26/H26</f>
        <v>8.0473769102321388E-2</v>
      </c>
      <c r="P40" s="33"/>
    </row>
    <row r="41" spans="3:16" x14ac:dyDescent="0.4">
      <c r="P41" s="34"/>
    </row>
    <row r="42" spans="3:16" x14ac:dyDescent="0.4">
      <c r="G42" s="25" t="s">
        <v>73</v>
      </c>
      <c r="H42" s="26"/>
      <c r="I42" s="26"/>
      <c r="J42" s="26"/>
      <c r="K42" s="26"/>
      <c r="L42" s="26"/>
      <c r="M42" s="26"/>
      <c r="P42" s="33"/>
    </row>
    <row r="43" spans="3:16" x14ac:dyDescent="0.4">
      <c r="G43" s="2" t="s">
        <v>74</v>
      </c>
      <c r="H43" s="18">
        <f>NPV($D$13,I26:M26)+H26</f>
        <v>21372.020934864617</v>
      </c>
      <c r="P43" s="33"/>
    </row>
    <row r="44" spans="3:16" x14ac:dyDescent="0.4">
      <c r="G44" s="2" t="s">
        <v>75</v>
      </c>
      <c r="H44" s="16">
        <f>IRR(H26:M26,0.1)</f>
        <v>0.23055992919393709</v>
      </c>
      <c r="P44" s="34"/>
    </row>
    <row r="45" spans="3:16" x14ac:dyDescent="0.4">
      <c r="H45" s="16"/>
    </row>
  </sheetData>
  <pageMargins left="0.75" right="0.75" top="1" bottom="1" header="0.5" footer="0.5"/>
  <pageSetup scale="62" orientation="portrait" r:id="rId1"/>
  <headerFooter differentOddEven="1" alignWithMargins="0">
    <oddFooter>&amp;CSaudi Aramco: Company General Use</oddFooter>
    <evenFooter>&amp;CSaudi Aramco: Company General Use</evenFooter>
    <firstFooter>&amp;C&amp;"arial,Regular"&amp;11Saudi Aramco: Company General Use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Deeppockets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keywords>Company General Use</cp:keywords>
  <cp:lastModifiedBy>cromwell wong</cp:lastModifiedBy>
  <dcterms:created xsi:type="dcterms:W3CDTF">2009-08-01T21:07:15Z</dcterms:created>
  <dcterms:modified xsi:type="dcterms:W3CDTF">2016-12-09T18:16:49Z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0ef1bde0-131f-4f9e-9ef5-b82411973cf7</vt:lpwstr>
  </property>
  <property fmtid="{D5CDD505-2E9C-101B-9397-08002B2CF9AE}" pid="3" name="ARMCOClassification">
    <vt:lpwstr>Company General Use</vt:lpwstr>
  </property>
  <property fmtid="{D5CDD505-2E9C-101B-9397-08002B2CF9AE}" pid="4" name="Editor">
    <vt:lpwstr>wongcd</vt:lpwstr>
  </property>
  <property fmtid="{D5CDD505-2E9C-101B-9397-08002B2CF9AE}" pid="5" name="Last Modification date">
    <vt:lpwstr>2016-12-07</vt:lpwstr>
  </property>
  <property fmtid="{D5CDD505-2E9C-101B-9397-08002B2CF9AE}" pid="6" name="Last Modification time">
    <vt:lpwstr>9:27:06 AM</vt:lpwstr>
  </property>
  <property fmtid="{D5CDD505-2E9C-101B-9397-08002B2CF9AE}" pid="7" name="Classification">
    <vt:lpwstr>CompanyGeneralUse</vt:lpwstr>
  </property>
</Properties>
</file>