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mw\Downloads\"/>
    </mc:Choice>
  </mc:AlternateContent>
  <bookViews>
    <workbookView xWindow="0" yWindow="0" windowWidth="19200" windowHeight="6816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42530.3465162037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F6" i="1"/>
  <c r="F16" i="1"/>
  <c r="G1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F5" i="1"/>
  <c r="G14" i="1" s="1"/>
  <c r="S29" i="1" l="1"/>
  <c r="S23" i="1"/>
  <c r="S22" i="1"/>
  <c r="M5" i="1"/>
  <c r="M23" i="1"/>
  <c r="S6" i="1"/>
  <c r="S27" i="1"/>
  <c r="K23" i="1"/>
  <c r="K24" i="1" s="1"/>
  <c r="K25" i="1" s="1"/>
  <c r="K26" i="1" s="1"/>
  <c r="K27" i="1" s="1"/>
  <c r="K28" i="1" s="1"/>
  <c r="K29" i="1" s="1"/>
  <c r="K32" i="1" s="1"/>
  <c r="K33" i="1" s="1"/>
  <c r="K34" i="1" s="1"/>
  <c r="K35" i="1" s="1"/>
  <c r="S10" i="1"/>
  <c r="S35" i="1"/>
  <c r="F15" i="1"/>
  <c r="G15" i="1" s="1"/>
  <c r="S7" i="1"/>
  <c r="S11" i="1"/>
  <c r="S17" i="1"/>
  <c r="S24" i="1"/>
  <c r="S32" i="1"/>
  <c r="S8" i="1"/>
  <c r="S14" i="1"/>
  <c r="S18" i="1"/>
  <c r="S25" i="1"/>
  <c r="S33" i="1"/>
  <c r="L3" i="1"/>
  <c r="N4" i="1" s="1"/>
  <c r="S9" i="1"/>
  <c r="S15" i="1"/>
  <c r="S19" i="1"/>
  <c r="S26" i="1"/>
  <c r="S34" i="1"/>
  <c r="S4" i="1"/>
  <c r="S12" i="1"/>
  <c r="S20" i="1"/>
  <c r="S28" i="1"/>
  <c r="S5" i="1"/>
  <c r="S13" i="1"/>
  <c r="S21" i="1"/>
  <c r="G17" i="1"/>
  <c r="F14" i="1"/>
  <c r="M12" i="1"/>
  <c r="M20" i="1"/>
  <c r="M28" i="1"/>
  <c r="M13" i="1"/>
  <c r="M21" i="1"/>
  <c r="M29" i="1"/>
  <c r="M6" i="1"/>
  <c r="M14" i="1"/>
  <c r="M22" i="1"/>
  <c r="M32" i="1"/>
  <c r="M7" i="1"/>
  <c r="M15" i="1"/>
  <c r="M33" i="1"/>
  <c r="M8" i="1"/>
  <c r="M16" i="1"/>
  <c r="M24" i="1"/>
  <c r="M34" i="1"/>
  <c r="M9" i="1"/>
  <c r="M17" i="1"/>
  <c r="M25" i="1"/>
  <c r="M35" i="1"/>
  <c r="M10" i="1"/>
  <c r="M18" i="1"/>
  <c r="M26" i="1"/>
  <c r="M11" i="1"/>
  <c r="M19" i="1"/>
  <c r="M27" i="1"/>
  <c r="M4" i="1"/>
  <c r="G33" i="1" l="1"/>
  <c r="F17" i="1"/>
  <c r="O4" i="1"/>
  <c r="M36" i="1"/>
  <c r="S36" i="1"/>
  <c r="G26" i="1" s="1"/>
  <c r="P4" i="1" l="1"/>
  <c r="L4" i="1" l="1"/>
  <c r="N5" i="1" s="1"/>
  <c r="R4" i="1"/>
  <c r="T4" i="1" l="1"/>
  <c r="O5" i="1"/>
  <c r="P5" i="1" l="1"/>
  <c r="L5" i="1" l="1"/>
  <c r="R5" i="1"/>
  <c r="T5" i="1" l="1"/>
  <c r="N6" i="1"/>
  <c r="O6" i="1" l="1"/>
  <c r="P6" i="1" l="1"/>
  <c r="L6" i="1" l="1"/>
  <c r="N7" i="1" s="1"/>
  <c r="R6" i="1"/>
  <c r="T6" i="1" l="1"/>
  <c r="O7" i="1"/>
  <c r="P7" i="1" l="1"/>
  <c r="L7" i="1" l="1"/>
  <c r="N8" i="1" s="1"/>
  <c r="R7" i="1"/>
  <c r="T7" i="1" l="1"/>
  <c r="O8" i="1"/>
  <c r="P8" i="1" l="1"/>
  <c r="L8" i="1" l="1"/>
  <c r="N9" i="1" s="1"/>
  <c r="O9" i="1" s="1"/>
  <c r="P9" i="1" s="1"/>
  <c r="R8" i="1"/>
  <c r="L9" i="1" l="1"/>
  <c r="N10" i="1" s="1"/>
  <c r="O10" i="1" s="1"/>
  <c r="P10" i="1" s="1"/>
  <c r="R9" i="1"/>
  <c r="T9" i="1" s="1"/>
  <c r="T8" i="1"/>
  <c r="L10" i="1" l="1"/>
  <c r="R10" i="1"/>
  <c r="T10" i="1" s="1"/>
  <c r="N11" i="1" l="1"/>
  <c r="O11" i="1" s="1"/>
  <c r="P11" i="1" s="1"/>
  <c r="L11" i="1" l="1"/>
  <c r="N12" i="1" s="1"/>
  <c r="O12" i="1" s="1"/>
  <c r="P12" i="1" s="1"/>
  <c r="R11" i="1"/>
  <c r="T11" i="1" s="1"/>
  <c r="L12" i="1" l="1"/>
  <c r="N13" i="1" s="1"/>
  <c r="R12" i="1"/>
  <c r="T12" i="1" s="1"/>
  <c r="O13" i="1" l="1"/>
  <c r="G30" i="1"/>
  <c r="P13" i="1" l="1"/>
  <c r="G31" i="1"/>
  <c r="L13" i="1" l="1"/>
  <c r="R13" i="1"/>
  <c r="T13" i="1" l="1"/>
  <c r="G32" i="1"/>
  <c r="G34" i="1" s="1"/>
  <c r="N14" i="1"/>
  <c r="O14" i="1" s="1"/>
  <c r="P14" i="1" s="1"/>
  <c r="L14" i="1" l="1"/>
  <c r="N15" i="1" s="1"/>
  <c r="O15" i="1" s="1"/>
  <c r="P15" i="1" s="1"/>
  <c r="R14" i="1"/>
  <c r="T14" i="1" s="1"/>
  <c r="L15" i="1" l="1"/>
  <c r="R15" i="1"/>
  <c r="T15" i="1" s="1"/>
  <c r="N16" i="1" l="1"/>
  <c r="O16" i="1" s="1"/>
  <c r="P16" i="1" s="1"/>
  <c r="L16" i="1" l="1"/>
  <c r="N17" i="1" s="1"/>
  <c r="O17" i="1" s="1"/>
  <c r="P17" i="1" s="1"/>
  <c r="R16" i="1"/>
  <c r="T16" i="1" s="1"/>
  <c r="L17" i="1" l="1"/>
  <c r="N18" i="1" s="1"/>
  <c r="O18" i="1" s="1"/>
  <c r="P18" i="1" s="1"/>
  <c r="R17" i="1"/>
  <c r="T17" i="1" s="1"/>
  <c r="L18" i="1" l="1"/>
  <c r="N19" i="1" s="1"/>
  <c r="O19" i="1" s="1"/>
  <c r="P19" i="1" s="1"/>
  <c r="R18" i="1"/>
  <c r="T18" i="1" s="1"/>
  <c r="L19" i="1" l="1"/>
  <c r="N20" i="1" s="1"/>
  <c r="O20" i="1" s="1"/>
  <c r="P20" i="1" s="1"/>
  <c r="R19" i="1"/>
  <c r="T19" i="1" s="1"/>
  <c r="L20" i="1" l="1"/>
  <c r="N21" i="1" s="1"/>
  <c r="O21" i="1" s="1"/>
  <c r="P21" i="1" s="1"/>
  <c r="R20" i="1"/>
  <c r="T20" i="1" s="1"/>
  <c r="L21" i="1" l="1"/>
  <c r="R21" i="1"/>
  <c r="T21" i="1" s="1"/>
  <c r="N22" i="1" l="1"/>
  <c r="O22" i="1" s="1"/>
  <c r="P22" i="1" s="1"/>
  <c r="L22" i="1" l="1"/>
  <c r="R22" i="1"/>
  <c r="T22" i="1" s="1"/>
  <c r="N23" i="1" l="1"/>
  <c r="O23" i="1" s="1"/>
  <c r="P23" i="1" s="1"/>
  <c r="L23" i="1" l="1"/>
  <c r="N24" i="1" s="1"/>
  <c r="O24" i="1" s="1"/>
  <c r="P24" i="1" s="1"/>
  <c r="L24" i="1" s="1"/>
  <c r="N25" i="1" s="1"/>
  <c r="O25" i="1" s="1"/>
  <c r="P25" i="1" s="1"/>
  <c r="R23" i="1"/>
  <c r="T23" i="1" s="1"/>
  <c r="R24" i="1" l="1"/>
  <c r="T24" i="1" s="1"/>
  <c r="L25" i="1"/>
  <c r="N26" i="1" s="1"/>
  <c r="O26" i="1" s="1"/>
  <c r="P26" i="1" s="1"/>
  <c r="R25" i="1"/>
  <c r="T25" i="1" s="1"/>
  <c r="L26" i="1" l="1"/>
  <c r="R26" i="1"/>
  <c r="T26" i="1" s="1"/>
  <c r="N27" i="1" l="1"/>
  <c r="O27" i="1" s="1"/>
  <c r="P27" i="1" s="1"/>
  <c r="L27" i="1" l="1"/>
  <c r="N28" i="1" s="1"/>
  <c r="O28" i="1" s="1"/>
  <c r="P28" i="1" s="1"/>
  <c r="R27" i="1"/>
  <c r="T27" i="1" s="1"/>
  <c r="L28" i="1" l="1"/>
  <c r="N29" i="1" s="1"/>
  <c r="O29" i="1" s="1"/>
  <c r="P29" i="1" s="1"/>
  <c r="R28" i="1"/>
  <c r="T28" i="1" s="1"/>
  <c r="L29" i="1" l="1"/>
  <c r="N32" i="1" s="1"/>
  <c r="O32" i="1" s="1"/>
  <c r="P32" i="1" s="1"/>
  <c r="R29" i="1"/>
  <c r="T29" i="1" s="1"/>
  <c r="L32" i="1" l="1"/>
  <c r="N33" i="1" s="1"/>
  <c r="O33" i="1" s="1"/>
  <c r="P33" i="1" s="1"/>
  <c r="R32" i="1"/>
  <c r="T32" i="1" s="1"/>
  <c r="L33" i="1" l="1"/>
  <c r="R33" i="1"/>
  <c r="T33" i="1" s="1"/>
  <c r="N34" i="1" l="1"/>
  <c r="O34" i="1" s="1"/>
  <c r="P34" i="1" s="1"/>
  <c r="L34" i="1" l="1"/>
  <c r="N35" i="1" s="1"/>
  <c r="R34" i="1"/>
  <c r="T34" i="1" s="1"/>
  <c r="O35" i="1" l="1"/>
  <c r="N36" i="1"/>
  <c r="G23" i="1" s="1"/>
  <c r="P35" i="1" l="1"/>
  <c r="O36" i="1"/>
  <c r="G24" i="1" s="1"/>
  <c r="L35" i="1" l="1"/>
  <c r="R35" i="1"/>
  <c r="T35" i="1" l="1"/>
  <c r="T36" i="1" s="1"/>
  <c r="R36" i="1"/>
  <c r="G25" i="1" s="1"/>
  <c r="G27" i="1" s="1"/>
</calcChain>
</file>

<file path=xl/sharedStrings.xml><?xml version="1.0" encoding="utf-8"?>
<sst xmlns="http://schemas.openxmlformats.org/spreadsheetml/2006/main" count="50" uniqueCount="41">
  <si>
    <t>Home Price</t>
  </si>
  <si>
    <t>Down Payment</t>
  </si>
  <si>
    <t>Loan Amount</t>
  </si>
  <si>
    <t>Interest Rate</t>
  </si>
  <si>
    <t>Period in Months</t>
  </si>
  <si>
    <t>Monthly Payment</t>
  </si>
  <si>
    <t>PMI</t>
  </si>
  <si>
    <t>Property Tax</t>
  </si>
  <si>
    <t>Total</t>
  </si>
  <si>
    <t>Assumptions</t>
  </si>
  <si>
    <t>Explanation</t>
  </si>
  <si>
    <t>Price offered in the market</t>
  </si>
  <si>
    <t>Percentage of how much buyer will put as a down payment</t>
  </si>
  <si>
    <t>Loan value that will be assumed by the borrower</t>
  </si>
  <si>
    <t>30 year rate (ss of December 2016 average rate, good credit score)</t>
  </si>
  <si>
    <t>Number of months to pay mortgage (30 years)</t>
  </si>
  <si>
    <t>Average Principal Mortgage Insurance.  You pay this if you put down less than 20% of the purchase price</t>
  </si>
  <si>
    <t>Average in Houston Texas area.  Some areas may be less, but across the country, the rage is 1% to 3.5%.</t>
  </si>
  <si>
    <t>This is the principal and interest payment</t>
  </si>
  <si>
    <t>Self - explanatory</t>
  </si>
  <si>
    <t>Monthly</t>
  </si>
  <si>
    <t>Annually</t>
  </si>
  <si>
    <t>Years</t>
  </si>
  <si>
    <t>Beg. Balance</t>
  </si>
  <si>
    <t>Payment</t>
  </si>
  <si>
    <t>Interest</t>
  </si>
  <si>
    <t>Principal</t>
  </si>
  <si>
    <t>End. Balance</t>
  </si>
  <si>
    <t>Prop. Tax</t>
  </si>
  <si>
    <t>Annual Cash Outflow</t>
  </si>
  <si>
    <t>Totals</t>
  </si>
  <si>
    <t>80% Threshold*</t>
  </si>
  <si>
    <t>Total PMI Paid</t>
  </si>
  <si>
    <t>Total Cash Out Flow</t>
  </si>
  <si>
    <t>Payment Breakup over 30 years</t>
  </si>
  <si>
    <t>Total Interest Paid</t>
  </si>
  <si>
    <t>Total Principal Paid</t>
  </si>
  <si>
    <t>Total Property Tax Paid</t>
  </si>
  <si>
    <t>* PMI goes away after the equity in the property reaches 20% of the original purchase price</t>
  </si>
  <si>
    <t>Payment Breakup over 10 years</t>
  </si>
  <si>
    <t>For the sake of simplicity, the property tax is based on the 80% threshold value throughout the loan value.   Property taxes are based on the assessed value of the property which is usually less than the market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</si>
</sst>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9" fontId="2" fillId="0" borderId="0" xfId="0" applyNumberFormat="1" applyFont="1"/>
    <xf numFmtId="164" fontId="2" fillId="0" borderId="0" xfId="1" applyNumberFormat="1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6" fontId="2" fillId="0" borderId="0" xfId="1" applyNumberFormat="1" applyFont="1"/>
    <xf numFmtId="6" fontId="2" fillId="0" borderId="1" xfId="0" applyNumberFormat="1" applyFont="1" applyBorder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6" fontId="2" fillId="0" borderId="1" xfId="1" applyNumberFormat="1" applyFont="1" applyBorder="1"/>
    <xf numFmtId="6" fontId="2" fillId="0" borderId="0" xfId="0" applyNumberFormat="1" applyFont="1"/>
    <xf numFmtId="8" fontId="2" fillId="0" borderId="0" xfId="0" applyNumberFormat="1" applyFont="1"/>
    <xf numFmtId="164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41"/>
  <sheetViews>
    <sheetView showGridLines="0" tabSelected="1" zoomScale="85" zoomScaleNormal="85" workbookViewId="0">
      <selection activeCell="I13" sqref="I13"/>
    </sheetView>
  </sheetViews>
  <sheetFormatPr defaultColWidth="9.15625" defaultRowHeight="14.1" x14ac:dyDescent="0.5"/>
  <cols>
    <col min="1" max="3" width="2.68359375" style="1" customWidth="1"/>
    <col min="4" max="4" width="23" style="1" customWidth="1"/>
    <col min="5" max="5" width="4" style="1" customWidth="1"/>
    <col min="6" max="6" width="13" style="1" customWidth="1"/>
    <col min="7" max="7" width="11.578125" style="1" customWidth="1"/>
    <col min="8" max="8" width="2.68359375" style="1" customWidth="1"/>
    <col min="9" max="9" width="90.578125" style="1" customWidth="1"/>
    <col min="10" max="10" width="35" style="1" customWidth="1"/>
    <col min="11" max="11" width="9.15625" style="1"/>
    <col min="12" max="12" width="11.41796875" style="1" customWidth="1"/>
    <col min="13" max="14" width="9.83984375" style="1" bestFit="1" customWidth="1"/>
    <col min="15" max="15" width="9.26171875" style="1" bestFit="1" customWidth="1"/>
    <col min="16" max="16" width="12.41796875" style="1" bestFit="1" customWidth="1"/>
    <col min="17" max="17" width="2.68359375" style="1" customWidth="1"/>
    <col min="18" max="18" width="9.15625" style="1"/>
    <col min="19" max="19" width="9.41796875" style="1" bestFit="1" customWidth="1"/>
    <col min="20" max="16384" width="9.15625" style="1"/>
  </cols>
  <sheetData>
    <row r="2" spans="4:20" x14ac:dyDescent="0.5">
      <c r="D2" s="16" t="s">
        <v>9</v>
      </c>
      <c r="E2" s="16"/>
      <c r="F2" s="17"/>
      <c r="G2" s="16"/>
      <c r="H2" s="16"/>
      <c r="I2" s="18" t="s">
        <v>10</v>
      </c>
      <c r="K2" s="1" t="s">
        <v>22</v>
      </c>
      <c r="L2" s="1" t="s">
        <v>23</v>
      </c>
      <c r="M2" s="1" t="s">
        <v>24</v>
      </c>
      <c r="N2" s="1" t="s">
        <v>25</v>
      </c>
      <c r="O2" s="1" t="s">
        <v>26</v>
      </c>
      <c r="P2" s="1" t="s">
        <v>27</v>
      </c>
      <c r="R2" s="1" t="s">
        <v>6</v>
      </c>
      <c r="S2" s="1" t="s">
        <v>28</v>
      </c>
      <c r="T2" s="1" t="s">
        <v>29</v>
      </c>
    </row>
    <row r="3" spans="4:20" x14ac:dyDescent="0.5">
      <c r="D3" s="2" t="s">
        <v>0</v>
      </c>
      <c r="E3" s="2"/>
      <c r="F3" s="3">
        <v>350000</v>
      </c>
      <c r="G3" s="3"/>
      <c r="I3" s="11" t="s">
        <v>11</v>
      </c>
      <c r="J3" s="2"/>
      <c r="K3" s="2">
        <v>0</v>
      </c>
      <c r="L3" s="15">
        <f>+F5</f>
        <v>315000</v>
      </c>
      <c r="M3" s="2"/>
      <c r="N3" s="2"/>
      <c r="O3" s="2"/>
      <c r="P3" s="2"/>
      <c r="R3" s="2"/>
      <c r="S3" s="2"/>
      <c r="T3" s="2"/>
    </row>
    <row r="4" spans="4:20" x14ac:dyDescent="0.5">
      <c r="D4" s="1" t="s">
        <v>1</v>
      </c>
      <c r="F4" s="4">
        <v>0.1</v>
      </c>
      <c r="G4" s="4"/>
      <c r="I4" s="10" t="s">
        <v>12</v>
      </c>
      <c r="K4" s="1">
        <f>+K3+1</f>
        <v>1</v>
      </c>
      <c r="L4" s="13">
        <f>+P4</f>
        <v>309383.51877289667</v>
      </c>
      <c r="M4" s="13">
        <f t="shared" ref="M4:M35" si="0">+$G$14</f>
        <v>18216.481227103322</v>
      </c>
      <c r="N4" s="13">
        <f t="shared" ref="N4:N35" si="1">+L3*$F$8</f>
        <v>12600</v>
      </c>
      <c r="O4" s="13">
        <f>+M4-N4</f>
        <v>5616.4812271033225</v>
      </c>
      <c r="P4" s="14">
        <f>+L3-O4</f>
        <v>309383.51877289667</v>
      </c>
      <c r="Q4" s="13"/>
      <c r="R4" s="13">
        <f>+IF(P4&gt;$F$6,P4*$F$10,0)</f>
        <v>3557.9104658883116</v>
      </c>
      <c r="S4" s="13">
        <f>$F$6*$F$11</f>
        <v>8400</v>
      </c>
      <c r="T4" s="13">
        <f t="shared" ref="T4:T13" si="2">+S4+R4+M4</f>
        <v>30174.391692991634</v>
      </c>
    </row>
    <row r="5" spans="4:20" x14ac:dyDescent="0.5">
      <c r="D5" s="1" t="s">
        <v>2</v>
      </c>
      <c r="F5" s="5">
        <f>+F3*(1-F4)</f>
        <v>315000</v>
      </c>
      <c r="G5" s="5"/>
      <c r="I5" s="10" t="s">
        <v>13</v>
      </c>
      <c r="K5" s="1">
        <f t="shared" ref="K5:K35" si="3">+K4+1</f>
        <v>2</v>
      </c>
      <c r="L5" s="13">
        <f t="shared" ref="L5:L35" si="4">+P5</f>
        <v>303542.37829670921</v>
      </c>
      <c r="M5" s="13">
        <f t="shared" si="0"/>
        <v>18216.481227103322</v>
      </c>
      <c r="N5" s="13">
        <f t="shared" si="1"/>
        <v>12375.340750915868</v>
      </c>
      <c r="O5" s="13">
        <f t="shared" ref="O5:O35" si="5">+M5-N5</f>
        <v>5841.1404761874546</v>
      </c>
      <c r="P5" s="14">
        <f t="shared" ref="P5:P35" si="6">+L4-O5</f>
        <v>303542.37829670921</v>
      </c>
      <c r="Q5" s="13"/>
      <c r="R5" s="13">
        <f t="shared" ref="R5:R35" si="7">+IF(P5&gt;$F$6,P5*$F$10,0)</f>
        <v>3490.737350412156</v>
      </c>
      <c r="S5" s="13">
        <f t="shared" ref="S5:S35" si="8">$F$6*$F$11</f>
        <v>8400</v>
      </c>
      <c r="T5" s="13">
        <f t="shared" si="2"/>
        <v>30107.218577515479</v>
      </c>
    </row>
    <row r="6" spans="4:20" x14ac:dyDescent="0.5">
      <c r="D6" s="1" t="s">
        <v>31</v>
      </c>
      <c r="F6" s="5">
        <f>+F3*0.8</f>
        <v>280000</v>
      </c>
      <c r="I6" s="10"/>
      <c r="K6" s="1">
        <f t="shared" si="3"/>
        <v>3</v>
      </c>
      <c r="L6" s="13">
        <f t="shared" si="4"/>
        <v>297467.59220147424</v>
      </c>
      <c r="M6" s="13">
        <f t="shared" si="0"/>
        <v>18216.481227103322</v>
      </c>
      <c r="N6" s="13">
        <f t="shared" si="1"/>
        <v>12141.69513186837</v>
      </c>
      <c r="O6" s="13">
        <f t="shared" si="5"/>
        <v>6074.7860952349529</v>
      </c>
      <c r="P6" s="14">
        <f t="shared" si="6"/>
        <v>297467.59220147424</v>
      </c>
      <c r="Q6" s="13"/>
      <c r="R6" s="13">
        <f t="shared" si="7"/>
        <v>3420.8773103169538</v>
      </c>
      <c r="S6" s="13">
        <f t="shared" si="8"/>
        <v>8400</v>
      </c>
      <c r="T6" s="13">
        <f t="shared" si="2"/>
        <v>30037.358537420274</v>
      </c>
    </row>
    <row r="7" spans="4:20" x14ac:dyDescent="0.5">
      <c r="K7" s="1">
        <f t="shared" si="3"/>
        <v>4</v>
      </c>
      <c r="L7" s="13">
        <f t="shared" si="4"/>
        <v>291149.81466242991</v>
      </c>
      <c r="M7" s="13">
        <f t="shared" si="0"/>
        <v>18216.481227103322</v>
      </c>
      <c r="N7" s="13">
        <f t="shared" si="1"/>
        <v>11898.703688058969</v>
      </c>
      <c r="O7" s="13">
        <f t="shared" si="5"/>
        <v>6317.777539044353</v>
      </c>
      <c r="P7" s="14">
        <f t="shared" si="6"/>
        <v>291149.81466242991</v>
      </c>
      <c r="Q7" s="13"/>
      <c r="R7" s="13">
        <f t="shared" si="7"/>
        <v>3348.2228686179437</v>
      </c>
      <c r="S7" s="13">
        <f t="shared" si="8"/>
        <v>8400</v>
      </c>
      <c r="T7" s="13">
        <f t="shared" si="2"/>
        <v>29964.704095721267</v>
      </c>
    </row>
    <row r="8" spans="4:20" x14ac:dyDescent="0.5">
      <c r="D8" s="1" t="s">
        <v>3</v>
      </c>
      <c r="F8" s="4">
        <v>0.04</v>
      </c>
      <c r="G8" s="4"/>
      <c r="I8" s="10" t="s">
        <v>14</v>
      </c>
      <c r="K8" s="1">
        <f t="shared" si="3"/>
        <v>5</v>
      </c>
      <c r="L8" s="13">
        <f t="shared" si="4"/>
        <v>284579.3260218238</v>
      </c>
      <c r="M8" s="13">
        <f t="shared" si="0"/>
        <v>18216.481227103322</v>
      </c>
      <c r="N8" s="13">
        <f t="shared" si="1"/>
        <v>11645.992586497197</v>
      </c>
      <c r="O8" s="13">
        <f t="shared" si="5"/>
        <v>6570.488640606125</v>
      </c>
      <c r="P8" s="14">
        <f t="shared" si="6"/>
        <v>284579.3260218238</v>
      </c>
      <c r="Q8" s="13"/>
      <c r="R8" s="13">
        <f t="shared" si="7"/>
        <v>3272.6622492509737</v>
      </c>
      <c r="S8" s="13">
        <f t="shared" si="8"/>
        <v>8400</v>
      </c>
      <c r="T8" s="13">
        <f t="shared" si="2"/>
        <v>29889.143476354297</v>
      </c>
    </row>
    <row r="9" spans="4:20" x14ac:dyDescent="0.5">
      <c r="D9" s="1" t="s">
        <v>4</v>
      </c>
      <c r="F9" s="1">
        <v>360</v>
      </c>
      <c r="I9" s="10" t="s">
        <v>15</v>
      </c>
      <c r="K9" s="1">
        <f t="shared" si="3"/>
        <v>6</v>
      </c>
      <c r="L9" s="13">
        <f t="shared" si="4"/>
        <v>277746.01783559343</v>
      </c>
      <c r="M9" s="13">
        <f t="shared" si="0"/>
        <v>18216.481227103322</v>
      </c>
      <c r="N9" s="13">
        <f t="shared" si="1"/>
        <v>11383.173040872953</v>
      </c>
      <c r="O9" s="13">
        <f t="shared" si="5"/>
        <v>6833.3081862303698</v>
      </c>
      <c r="P9" s="14">
        <f t="shared" si="6"/>
        <v>277746.01783559343</v>
      </c>
      <c r="Q9" s="13"/>
      <c r="R9" s="13">
        <f t="shared" si="7"/>
        <v>0</v>
      </c>
      <c r="S9" s="13">
        <f t="shared" si="8"/>
        <v>8400</v>
      </c>
      <c r="T9" s="13">
        <f t="shared" si="2"/>
        <v>26616.481227103322</v>
      </c>
    </row>
    <row r="10" spans="4:20" x14ac:dyDescent="0.5">
      <c r="D10" s="1" t="s">
        <v>6</v>
      </c>
      <c r="F10" s="6">
        <v>1.15E-2</v>
      </c>
      <c r="G10" s="6"/>
      <c r="I10" s="10" t="s">
        <v>16</v>
      </c>
      <c r="K10" s="1">
        <f t="shared" si="3"/>
        <v>7</v>
      </c>
      <c r="L10" s="13">
        <f t="shared" si="4"/>
        <v>270639.37732191384</v>
      </c>
      <c r="M10" s="13">
        <f t="shared" si="0"/>
        <v>18216.481227103322</v>
      </c>
      <c r="N10" s="13">
        <f t="shared" si="1"/>
        <v>11109.840713423737</v>
      </c>
      <c r="O10" s="13">
        <f t="shared" si="5"/>
        <v>7106.6405136795856</v>
      </c>
      <c r="P10" s="14">
        <f t="shared" si="6"/>
        <v>270639.37732191384</v>
      </c>
      <c r="Q10" s="13"/>
      <c r="R10" s="13">
        <f t="shared" si="7"/>
        <v>0</v>
      </c>
      <c r="S10" s="13">
        <f t="shared" si="8"/>
        <v>8400</v>
      </c>
      <c r="T10" s="13">
        <f t="shared" si="2"/>
        <v>26616.481227103322</v>
      </c>
    </row>
    <row r="11" spans="4:20" x14ac:dyDescent="0.5">
      <c r="D11" s="1" t="s">
        <v>7</v>
      </c>
      <c r="F11" s="4">
        <v>0.03</v>
      </c>
      <c r="G11" s="4"/>
      <c r="I11" s="10" t="s">
        <v>17</v>
      </c>
      <c r="K11" s="1">
        <f t="shared" si="3"/>
        <v>8</v>
      </c>
      <c r="L11" s="13">
        <f t="shared" si="4"/>
        <v>263248.47118768707</v>
      </c>
      <c r="M11" s="13">
        <f t="shared" si="0"/>
        <v>18216.481227103322</v>
      </c>
      <c r="N11" s="13">
        <f t="shared" si="1"/>
        <v>10825.575092876554</v>
      </c>
      <c r="O11" s="13">
        <f t="shared" si="5"/>
        <v>7390.9061342267687</v>
      </c>
      <c r="P11" s="14">
        <f t="shared" si="6"/>
        <v>263248.47118768707</v>
      </c>
      <c r="Q11" s="13"/>
      <c r="R11" s="13">
        <f t="shared" si="7"/>
        <v>0</v>
      </c>
      <c r="S11" s="13">
        <f t="shared" si="8"/>
        <v>8400</v>
      </c>
      <c r="T11" s="13">
        <f t="shared" si="2"/>
        <v>26616.481227103322</v>
      </c>
    </row>
    <row r="12" spans="4:20" x14ac:dyDescent="0.5">
      <c r="I12" s="10"/>
      <c r="K12" s="1">
        <f t="shared" si="3"/>
        <v>9</v>
      </c>
      <c r="L12" s="13">
        <f t="shared" si="4"/>
        <v>255561.92880809124</v>
      </c>
      <c r="M12" s="13">
        <f t="shared" si="0"/>
        <v>18216.481227103322</v>
      </c>
      <c r="N12" s="13">
        <f t="shared" si="1"/>
        <v>10529.938847507483</v>
      </c>
      <c r="O12" s="13">
        <f t="shared" si="5"/>
        <v>7686.5423795958395</v>
      </c>
      <c r="P12" s="14">
        <f t="shared" si="6"/>
        <v>255561.92880809124</v>
      </c>
      <c r="Q12" s="13"/>
      <c r="R12" s="13">
        <f t="shared" si="7"/>
        <v>0</v>
      </c>
      <c r="S12" s="13">
        <f t="shared" si="8"/>
        <v>8400</v>
      </c>
      <c r="T12" s="13">
        <f t="shared" si="2"/>
        <v>26616.481227103322</v>
      </c>
    </row>
    <row r="13" spans="4:20" x14ac:dyDescent="0.5">
      <c r="F13" s="7" t="s">
        <v>20</v>
      </c>
      <c r="G13" s="7" t="s">
        <v>21</v>
      </c>
      <c r="I13" s="10"/>
      <c r="K13" s="1">
        <f t="shared" si="3"/>
        <v>10</v>
      </c>
      <c r="L13" s="13">
        <f t="shared" si="4"/>
        <v>247567.92473331158</v>
      </c>
      <c r="M13" s="13">
        <f t="shared" si="0"/>
        <v>18216.481227103322</v>
      </c>
      <c r="N13" s="13">
        <f t="shared" si="1"/>
        <v>10222.47715232365</v>
      </c>
      <c r="O13" s="13">
        <f t="shared" si="5"/>
        <v>7994.004074779672</v>
      </c>
      <c r="P13" s="14">
        <f t="shared" si="6"/>
        <v>247567.92473331158</v>
      </c>
      <c r="Q13" s="13"/>
      <c r="R13" s="13">
        <f t="shared" si="7"/>
        <v>0</v>
      </c>
      <c r="S13" s="13">
        <f t="shared" si="8"/>
        <v>8400</v>
      </c>
      <c r="T13" s="13">
        <f t="shared" si="2"/>
        <v>26616.481227103322</v>
      </c>
    </row>
    <row r="14" spans="4:20" x14ac:dyDescent="0.5">
      <c r="D14" s="2" t="s">
        <v>5</v>
      </c>
      <c r="E14" s="2"/>
      <c r="F14" s="12">
        <f>+G14/12</f>
        <v>1518.0401022586102</v>
      </c>
      <c r="G14" s="12">
        <f>+-PMT(F8,F9/12,F5)</f>
        <v>18216.481227103322</v>
      </c>
      <c r="I14" s="11" t="s">
        <v>18</v>
      </c>
      <c r="J14" s="2"/>
      <c r="K14" s="1">
        <f t="shared" si="3"/>
        <v>11</v>
      </c>
      <c r="L14" s="13">
        <f t="shared" si="4"/>
        <v>239254.16049554071</v>
      </c>
      <c r="M14" s="13">
        <f t="shared" si="0"/>
        <v>18216.481227103322</v>
      </c>
      <c r="N14" s="13">
        <f t="shared" si="1"/>
        <v>9902.7169893324626</v>
      </c>
      <c r="O14" s="13">
        <f t="shared" si="5"/>
        <v>8313.7642377708598</v>
      </c>
      <c r="P14" s="14">
        <f t="shared" si="6"/>
        <v>239254.16049554071</v>
      </c>
      <c r="Q14" s="13"/>
      <c r="R14" s="13">
        <f t="shared" si="7"/>
        <v>0</v>
      </c>
      <c r="S14" s="13">
        <f t="shared" si="8"/>
        <v>8400</v>
      </c>
      <c r="T14" s="13">
        <f t="shared" ref="T14:T35" si="9">+S14+R14+M14</f>
        <v>26616.481227103322</v>
      </c>
    </row>
    <row r="15" spans="4:20" x14ac:dyDescent="0.5">
      <c r="D15" s="1" t="s">
        <v>6</v>
      </c>
      <c r="F15" s="8">
        <f>+F5*F10/12</f>
        <v>301.875</v>
      </c>
      <c r="G15" s="8">
        <f>+F15*12</f>
        <v>3622.5</v>
      </c>
      <c r="I15" s="10" t="s">
        <v>19</v>
      </c>
      <c r="K15" s="1">
        <f t="shared" si="3"/>
        <v>12</v>
      </c>
      <c r="L15" s="13">
        <f t="shared" si="4"/>
        <v>230607.84568825903</v>
      </c>
      <c r="M15" s="13">
        <f t="shared" si="0"/>
        <v>18216.481227103322</v>
      </c>
      <c r="N15" s="13">
        <f t="shared" si="1"/>
        <v>9570.1664198216295</v>
      </c>
      <c r="O15" s="13">
        <f t="shared" si="5"/>
        <v>8646.314807281693</v>
      </c>
      <c r="P15" s="14">
        <f t="shared" si="6"/>
        <v>230607.84568825903</v>
      </c>
      <c r="Q15" s="13"/>
      <c r="R15" s="13">
        <f t="shared" si="7"/>
        <v>0</v>
      </c>
      <c r="S15" s="13">
        <f t="shared" si="8"/>
        <v>8400</v>
      </c>
      <c r="T15" s="13">
        <f t="shared" si="9"/>
        <v>26616.481227103322</v>
      </c>
    </row>
    <row r="16" spans="4:20" x14ac:dyDescent="0.5">
      <c r="D16" s="1" t="s">
        <v>7</v>
      </c>
      <c r="F16" s="8">
        <f>+F3*F11/12</f>
        <v>875</v>
      </c>
      <c r="G16" s="8">
        <f>+F16*12</f>
        <v>10500</v>
      </c>
      <c r="I16" s="10" t="s">
        <v>19</v>
      </c>
      <c r="K16" s="1">
        <f t="shared" si="3"/>
        <v>13</v>
      </c>
      <c r="L16" s="13">
        <f t="shared" si="4"/>
        <v>221615.67828868606</v>
      </c>
      <c r="M16" s="13">
        <f t="shared" si="0"/>
        <v>18216.481227103322</v>
      </c>
      <c r="N16" s="13">
        <f t="shared" si="1"/>
        <v>9224.3138275303609</v>
      </c>
      <c r="O16" s="13">
        <f t="shared" si="5"/>
        <v>8992.1673995729616</v>
      </c>
      <c r="P16" s="14">
        <f t="shared" si="6"/>
        <v>221615.67828868606</v>
      </c>
      <c r="Q16" s="13"/>
      <c r="R16" s="13">
        <f t="shared" si="7"/>
        <v>0</v>
      </c>
      <c r="S16" s="13">
        <f t="shared" si="8"/>
        <v>8400</v>
      </c>
      <c r="T16" s="13">
        <f t="shared" si="9"/>
        <v>26616.481227103322</v>
      </c>
    </row>
    <row r="17" spans="4:20" x14ac:dyDescent="0.5">
      <c r="D17" s="2" t="s">
        <v>8</v>
      </c>
      <c r="E17" s="2"/>
      <c r="F17" s="9">
        <f>SUM(F14:F16)</f>
        <v>2694.9151022586102</v>
      </c>
      <c r="G17" s="9">
        <f>SUM(G14:G16)</f>
        <v>32338.981227103322</v>
      </c>
      <c r="K17" s="1">
        <f t="shared" si="3"/>
        <v>14</v>
      </c>
      <c r="L17" s="13">
        <f t="shared" si="4"/>
        <v>212263.82419313019</v>
      </c>
      <c r="M17" s="13">
        <f t="shared" si="0"/>
        <v>18216.481227103322</v>
      </c>
      <c r="N17" s="13">
        <f t="shared" si="1"/>
        <v>8864.6271315474423</v>
      </c>
      <c r="O17" s="13">
        <f t="shared" si="5"/>
        <v>9351.8540955558801</v>
      </c>
      <c r="P17" s="14">
        <f t="shared" si="6"/>
        <v>212263.82419313019</v>
      </c>
      <c r="Q17" s="13"/>
      <c r="R17" s="13">
        <f t="shared" si="7"/>
        <v>0</v>
      </c>
      <c r="S17" s="13">
        <f t="shared" si="8"/>
        <v>8400</v>
      </c>
      <c r="T17" s="13">
        <f t="shared" si="9"/>
        <v>26616.481227103322</v>
      </c>
    </row>
    <row r="18" spans="4:20" x14ac:dyDescent="0.5">
      <c r="K18" s="1">
        <f t="shared" si="3"/>
        <v>15</v>
      </c>
      <c r="L18" s="13">
        <f t="shared" si="4"/>
        <v>202537.89593375206</v>
      </c>
      <c r="M18" s="13">
        <f t="shared" si="0"/>
        <v>18216.481227103322</v>
      </c>
      <c r="N18" s="13">
        <f t="shared" si="1"/>
        <v>8490.5529677252071</v>
      </c>
      <c r="O18" s="13">
        <f t="shared" si="5"/>
        <v>9725.9282593781154</v>
      </c>
      <c r="P18" s="14">
        <f t="shared" si="6"/>
        <v>202537.89593375206</v>
      </c>
      <c r="Q18" s="13"/>
      <c r="R18" s="13">
        <f t="shared" si="7"/>
        <v>0</v>
      </c>
      <c r="S18" s="13">
        <f t="shared" si="8"/>
        <v>8400</v>
      </c>
      <c r="T18" s="13">
        <f t="shared" si="9"/>
        <v>26616.481227103322</v>
      </c>
    </row>
    <row r="19" spans="4:20" x14ac:dyDescent="0.5">
      <c r="D19" s="1" t="s">
        <v>38</v>
      </c>
      <c r="K19" s="1">
        <f t="shared" si="3"/>
        <v>16</v>
      </c>
      <c r="L19" s="13">
        <f t="shared" si="4"/>
        <v>192422.93054399884</v>
      </c>
      <c r="M19" s="13">
        <f t="shared" si="0"/>
        <v>18216.481227103322</v>
      </c>
      <c r="N19" s="13">
        <f t="shared" si="1"/>
        <v>8101.5158373500826</v>
      </c>
      <c r="O19" s="13">
        <f t="shared" si="5"/>
        <v>10114.965389753241</v>
      </c>
      <c r="P19" s="14">
        <f t="shared" si="6"/>
        <v>192422.93054399884</v>
      </c>
      <c r="Q19" s="13"/>
      <c r="R19" s="13">
        <f t="shared" si="7"/>
        <v>0</v>
      </c>
      <c r="S19" s="13">
        <f t="shared" si="8"/>
        <v>8400</v>
      </c>
      <c r="T19" s="13">
        <f t="shared" si="9"/>
        <v>26616.481227103322</v>
      </c>
    </row>
    <row r="20" spans="4:20" x14ac:dyDescent="0.5">
      <c r="D20" s="1" t="s">
        <v>40</v>
      </c>
      <c r="K20" s="1">
        <f t="shared" si="3"/>
        <v>17</v>
      </c>
      <c r="L20" s="13">
        <f t="shared" si="4"/>
        <v>181903.36653865548</v>
      </c>
      <c r="M20" s="13">
        <f t="shared" si="0"/>
        <v>18216.481227103322</v>
      </c>
      <c r="N20" s="13">
        <f t="shared" si="1"/>
        <v>7696.9172217599535</v>
      </c>
      <c r="O20" s="13">
        <f t="shared" si="5"/>
        <v>10519.564005343369</v>
      </c>
      <c r="P20" s="14">
        <f t="shared" si="6"/>
        <v>181903.36653865548</v>
      </c>
      <c r="Q20" s="13"/>
      <c r="R20" s="13">
        <f t="shared" si="7"/>
        <v>0</v>
      </c>
      <c r="S20" s="13">
        <f t="shared" si="8"/>
        <v>8400</v>
      </c>
      <c r="T20" s="13">
        <f t="shared" si="9"/>
        <v>26616.481227103322</v>
      </c>
    </row>
    <row r="21" spans="4:20" x14ac:dyDescent="0.5">
      <c r="K21" s="1">
        <f t="shared" si="3"/>
        <v>18</v>
      </c>
      <c r="L21" s="13">
        <f t="shared" si="4"/>
        <v>170963.01997309839</v>
      </c>
      <c r="M21" s="13">
        <f t="shared" si="0"/>
        <v>18216.481227103322</v>
      </c>
      <c r="N21" s="13">
        <f t="shared" si="1"/>
        <v>7276.1346615462189</v>
      </c>
      <c r="O21" s="13">
        <f t="shared" si="5"/>
        <v>10940.346565557104</v>
      </c>
      <c r="P21" s="14">
        <f t="shared" si="6"/>
        <v>170963.01997309839</v>
      </c>
      <c r="Q21" s="13"/>
      <c r="R21" s="13">
        <f t="shared" si="7"/>
        <v>0</v>
      </c>
      <c r="S21" s="13">
        <f t="shared" si="8"/>
        <v>8400</v>
      </c>
      <c r="T21" s="13">
        <f t="shared" si="9"/>
        <v>26616.481227103322</v>
      </c>
    </row>
    <row r="22" spans="4:20" x14ac:dyDescent="0.5">
      <c r="D22" s="16" t="s">
        <v>34</v>
      </c>
      <c r="K22" s="1">
        <f t="shared" si="3"/>
        <v>19</v>
      </c>
      <c r="L22" s="13">
        <f t="shared" si="4"/>
        <v>159585.059544919</v>
      </c>
      <c r="M22" s="13">
        <f t="shared" si="0"/>
        <v>18216.481227103322</v>
      </c>
      <c r="N22" s="13">
        <f t="shared" si="1"/>
        <v>6838.5207989239352</v>
      </c>
      <c r="O22" s="13">
        <f t="shared" si="5"/>
        <v>11377.960428179387</v>
      </c>
      <c r="P22" s="14">
        <f t="shared" si="6"/>
        <v>159585.059544919</v>
      </c>
      <c r="Q22" s="13"/>
      <c r="R22" s="13">
        <f t="shared" si="7"/>
        <v>0</v>
      </c>
      <c r="S22" s="13">
        <f t="shared" si="8"/>
        <v>8400</v>
      </c>
      <c r="T22" s="13">
        <f t="shared" si="9"/>
        <v>26616.481227103322</v>
      </c>
    </row>
    <row r="23" spans="4:20" x14ac:dyDescent="0.5">
      <c r="D23" s="2" t="s">
        <v>35</v>
      </c>
      <c r="E23" s="2"/>
      <c r="F23" s="2"/>
      <c r="G23" s="9">
        <f>+N36</f>
        <v>231494.4368130996</v>
      </c>
      <c r="H23" s="2"/>
      <c r="I23" s="2"/>
      <c r="J23" s="2"/>
      <c r="K23" s="1">
        <f t="shared" si="3"/>
        <v>20</v>
      </c>
      <c r="L23" s="13">
        <f t="shared" si="4"/>
        <v>147751.98069961244</v>
      </c>
      <c r="M23" s="13">
        <f t="shared" si="0"/>
        <v>18216.481227103322</v>
      </c>
      <c r="N23" s="13">
        <f t="shared" si="1"/>
        <v>6383.40238179676</v>
      </c>
      <c r="O23" s="13">
        <f t="shared" si="5"/>
        <v>11833.078845306562</v>
      </c>
      <c r="P23" s="14">
        <f t="shared" si="6"/>
        <v>147751.98069961244</v>
      </c>
      <c r="Q23" s="13"/>
      <c r="R23" s="13">
        <f t="shared" si="7"/>
        <v>0</v>
      </c>
      <c r="S23" s="13">
        <f t="shared" si="8"/>
        <v>8400</v>
      </c>
      <c r="T23" s="13">
        <f t="shared" si="9"/>
        <v>26616.481227103322</v>
      </c>
    </row>
    <row r="24" spans="4:20" x14ac:dyDescent="0.5">
      <c r="D24" s="1" t="s">
        <v>36</v>
      </c>
      <c r="G24" s="13">
        <f>+O36</f>
        <v>315000.00000000006</v>
      </c>
      <c r="K24" s="1">
        <f>+K23+1</f>
        <v>21</v>
      </c>
      <c r="L24" s="13">
        <f t="shared" si="4"/>
        <v>135445.57870049361</v>
      </c>
      <c r="M24" s="13">
        <f t="shared" si="0"/>
        <v>18216.481227103322</v>
      </c>
      <c r="N24" s="13">
        <f>+L23*$F$8</f>
        <v>5910.0792279844973</v>
      </c>
      <c r="O24" s="13">
        <f t="shared" si="5"/>
        <v>12306.401999118825</v>
      </c>
      <c r="P24" s="14">
        <f>+L23-O24</f>
        <v>135445.57870049361</v>
      </c>
      <c r="Q24" s="13"/>
      <c r="R24" s="13">
        <f t="shared" si="7"/>
        <v>0</v>
      </c>
      <c r="S24" s="13">
        <f t="shared" si="8"/>
        <v>8400</v>
      </c>
      <c r="T24" s="13">
        <f t="shared" si="9"/>
        <v>26616.481227103322</v>
      </c>
    </row>
    <row r="25" spans="4:20" x14ac:dyDescent="0.5">
      <c r="D25" s="1" t="s">
        <v>32</v>
      </c>
      <c r="G25" s="13">
        <f>+R36</f>
        <v>17090.410244486338</v>
      </c>
      <c r="K25" s="1">
        <f t="shared" si="3"/>
        <v>22</v>
      </c>
      <c r="L25" s="13">
        <f t="shared" si="4"/>
        <v>122646.92062141004</v>
      </c>
      <c r="M25" s="13">
        <f t="shared" si="0"/>
        <v>18216.481227103322</v>
      </c>
      <c r="N25" s="13">
        <f t="shared" si="1"/>
        <v>5417.8231480197446</v>
      </c>
      <c r="O25" s="13">
        <f t="shared" si="5"/>
        <v>12798.658079083578</v>
      </c>
      <c r="P25" s="14">
        <f t="shared" si="6"/>
        <v>122646.92062141004</v>
      </c>
      <c r="Q25" s="13"/>
      <c r="R25" s="13">
        <f t="shared" si="7"/>
        <v>0</v>
      </c>
      <c r="S25" s="13">
        <f t="shared" si="8"/>
        <v>8400</v>
      </c>
      <c r="T25" s="13">
        <f t="shared" si="9"/>
        <v>26616.481227103322</v>
      </c>
    </row>
    <row r="26" spans="4:20" x14ac:dyDescent="0.5">
      <c r="D26" s="1" t="s">
        <v>37</v>
      </c>
      <c r="G26" s="13">
        <f>+S36</f>
        <v>252000</v>
      </c>
      <c r="K26" s="1">
        <f t="shared" si="3"/>
        <v>23</v>
      </c>
      <c r="L26" s="13">
        <f t="shared" si="4"/>
        <v>109336.31621916313</v>
      </c>
      <c r="M26" s="13">
        <f t="shared" si="0"/>
        <v>18216.481227103322</v>
      </c>
      <c r="N26" s="13">
        <f t="shared" si="1"/>
        <v>4905.876824856402</v>
      </c>
      <c r="O26" s="13">
        <f t="shared" si="5"/>
        <v>13310.604402246921</v>
      </c>
      <c r="P26" s="14">
        <f t="shared" si="6"/>
        <v>109336.31621916313</v>
      </c>
      <c r="Q26" s="13"/>
      <c r="R26" s="13">
        <f t="shared" si="7"/>
        <v>0</v>
      </c>
      <c r="S26" s="13">
        <f t="shared" si="8"/>
        <v>8400</v>
      </c>
      <c r="T26" s="13">
        <f t="shared" si="9"/>
        <v>26616.481227103322</v>
      </c>
    </row>
    <row r="27" spans="4:20" x14ac:dyDescent="0.5">
      <c r="D27" s="2" t="s">
        <v>33</v>
      </c>
      <c r="E27" s="2"/>
      <c r="F27" s="2"/>
      <c r="G27" s="9">
        <f>SUM(G23:G26)</f>
        <v>815584.84705758595</v>
      </c>
      <c r="K27" s="1">
        <f t="shared" si="3"/>
        <v>24</v>
      </c>
      <c r="L27" s="13">
        <f t="shared" si="4"/>
        <v>95493.287640826326</v>
      </c>
      <c r="M27" s="13">
        <f t="shared" si="0"/>
        <v>18216.481227103322</v>
      </c>
      <c r="N27" s="13">
        <f t="shared" si="1"/>
        <v>4373.4526487665253</v>
      </c>
      <c r="O27" s="13">
        <f t="shared" si="5"/>
        <v>13843.028578336798</v>
      </c>
      <c r="P27" s="14">
        <f t="shared" si="6"/>
        <v>95493.287640826326</v>
      </c>
      <c r="Q27" s="13"/>
      <c r="R27" s="13">
        <f t="shared" si="7"/>
        <v>0</v>
      </c>
      <c r="S27" s="13">
        <f t="shared" si="8"/>
        <v>8400</v>
      </c>
      <c r="T27" s="13">
        <f t="shared" si="9"/>
        <v>26616.481227103322</v>
      </c>
    </row>
    <row r="28" spans="4:20" x14ac:dyDescent="0.5">
      <c r="K28" s="1">
        <f t="shared" si="3"/>
        <v>25</v>
      </c>
      <c r="L28" s="13">
        <f t="shared" si="4"/>
        <v>81096.537919356051</v>
      </c>
      <c r="M28" s="13">
        <f t="shared" si="0"/>
        <v>18216.481227103322</v>
      </c>
      <c r="N28" s="13">
        <f t="shared" si="1"/>
        <v>3819.7315056330531</v>
      </c>
      <c r="O28" s="13">
        <f t="shared" si="5"/>
        <v>14396.749721470269</v>
      </c>
      <c r="P28" s="14">
        <f t="shared" si="6"/>
        <v>81096.537919356051</v>
      </c>
      <c r="Q28" s="13"/>
      <c r="R28" s="13">
        <f t="shared" si="7"/>
        <v>0</v>
      </c>
      <c r="S28" s="13">
        <f t="shared" si="8"/>
        <v>8400</v>
      </c>
      <c r="T28" s="13">
        <f t="shared" si="9"/>
        <v>26616.481227103322</v>
      </c>
    </row>
    <row r="29" spans="4:20" x14ac:dyDescent="0.5">
      <c r="D29" s="16" t="s">
        <v>39</v>
      </c>
      <c r="K29" s="1">
        <f t="shared" si="3"/>
        <v>26</v>
      </c>
      <c r="L29" s="13">
        <f t="shared" si="4"/>
        <v>66123.918209026975</v>
      </c>
      <c r="M29" s="13">
        <f t="shared" si="0"/>
        <v>18216.481227103322</v>
      </c>
      <c r="N29" s="13">
        <f t="shared" si="1"/>
        <v>3243.8615167742423</v>
      </c>
      <c r="O29" s="13">
        <f t="shared" si="5"/>
        <v>14972.61971032908</v>
      </c>
      <c r="P29" s="14">
        <f t="shared" si="6"/>
        <v>66123.918209026975</v>
      </c>
      <c r="Q29" s="13"/>
      <c r="R29" s="13">
        <f t="shared" si="7"/>
        <v>0</v>
      </c>
      <c r="S29" s="13">
        <f t="shared" si="8"/>
        <v>8400</v>
      </c>
      <c r="T29" s="13">
        <f t="shared" si="9"/>
        <v>26616.481227103322</v>
      </c>
    </row>
    <row r="30" spans="4:20" x14ac:dyDescent="0.5">
      <c r="D30" s="2" t="s">
        <v>35</v>
      </c>
      <c r="E30" s="2"/>
      <c r="F30" s="2"/>
      <c r="G30" s="9">
        <f>SUM(N4:N13)</f>
        <v>114732.73700434477</v>
      </c>
      <c r="L30" s="13"/>
      <c r="M30" s="13"/>
      <c r="N30" s="13"/>
      <c r="O30" s="13"/>
      <c r="P30" s="14"/>
      <c r="Q30" s="13"/>
      <c r="R30" s="13"/>
      <c r="S30" s="13"/>
      <c r="T30" s="13"/>
    </row>
    <row r="31" spans="4:20" x14ac:dyDescent="0.5">
      <c r="D31" s="1" t="s">
        <v>36</v>
      </c>
      <c r="G31" s="13">
        <f>+SUM(O4:O13)</f>
        <v>67432.075266688451</v>
      </c>
      <c r="L31" s="13"/>
      <c r="M31" s="13"/>
      <c r="N31" s="13"/>
      <c r="O31" s="13"/>
      <c r="P31" s="14"/>
      <c r="Q31" s="13"/>
      <c r="R31" s="13"/>
      <c r="S31" s="13"/>
      <c r="T31" s="13"/>
    </row>
    <row r="32" spans="4:20" x14ac:dyDescent="0.5">
      <c r="D32" s="1" t="s">
        <v>32</v>
      </c>
      <c r="G32" s="13">
        <f>SUM(R4:R13)</f>
        <v>17090.410244486338</v>
      </c>
      <c r="K32" s="1">
        <f>+K29+1</f>
        <v>27</v>
      </c>
      <c r="L32" s="13">
        <f t="shared" si="4"/>
        <v>50552.393710284734</v>
      </c>
      <c r="M32" s="13">
        <f t="shared" si="0"/>
        <v>18216.481227103322</v>
      </c>
      <c r="N32" s="13">
        <f>+L29*$F$8</f>
        <v>2644.9567283610791</v>
      </c>
      <c r="O32" s="13">
        <f t="shared" si="5"/>
        <v>15571.524498742243</v>
      </c>
      <c r="P32" s="14">
        <f>+L29-O32</f>
        <v>50552.393710284734</v>
      </c>
      <c r="Q32" s="13"/>
      <c r="R32" s="13">
        <f t="shared" si="7"/>
        <v>0</v>
      </c>
      <c r="S32" s="13">
        <f t="shared" si="8"/>
        <v>8400</v>
      </c>
      <c r="T32" s="13">
        <f t="shared" si="9"/>
        <v>26616.481227103322</v>
      </c>
    </row>
    <row r="33" spans="4:20" x14ac:dyDescent="0.5">
      <c r="D33" s="1" t="s">
        <v>37</v>
      </c>
      <c r="G33" s="13">
        <f>SUM(S4:S13)</f>
        <v>84000</v>
      </c>
      <c r="K33" s="1">
        <f t="shared" si="3"/>
        <v>28</v>
      </c>
      <c r="L33" s="13">
        <f t="shared" si="4"/>
        <v>34358.008231592801</v>
      </c>
      <c r="M33" s="13">
        <f t="shared" si="0"/>
        <v>18216.481227103322</v>
      </c>
      <c r="N33" s="13">
        <f t="shared" si="1"/>
        <v>2022.0957484113894</v>
      </c>
      <c r="O33" s="13">
        <f t="shared" si="5"/>
        <v>16194.385478691933</v>
      </c>
      <c r="P33" s="14">
        <f t="shared" si="6"/>
        <v>34358.008231592801</v>
      </c>
      <c r="Q33" s="13"/>
      <c r="R33" s="13">
        <f t="shared" si="7"/>
        <v>0</v>
      </c>
      <c r="S33" s="13">
        <f t="shared" si="8"/>
        <v>8400</v>
      </c>
      <c r="T33" s="13">
        <f t="shared" si="9"/>
        <v>26616.481227103322</v>
      </c>
    </row>
    <row r="34" spans="4:20" x14ac:dyDescent="0.5">
      <c r="D34" s="2" t="s">
        <v>8</v>
      </c>
      <c r="E34" s="2"/>
      <c r="F34" s="2"/>
      <c r="G34" s="9">
        <f>SUM(G30:G33)</f>
        <v>283255.22251551959</v>
      </c>
      <c r="K34" s="1">
        <f t="shared" si="3"/>
        <v>29</v>
      </c>
      <c r="L34" s="13">
        <f t="shared" si="4"/>
        <v>17515.84733375319</v>
      </c>
      <c r="M34" s="13">
        <f t="shared" si="0"/>
        <v>18216.481227103322</v>
      </c>
      <c r="N34" s="13">
        <f t="shared" si="1"/>
        <v>1374.320329263712</v>
      </c>
      <c r="O34" s="13">
        <f t="shared" si="5"/>
        <v>16842.160897839611</v>
      </c>
      <c r="P34" s="14">
        <f t="shared" si="6"/>
        <v>17515.84733375319</v>
      </c>
      <c r="Q34" s="13"/>
      <c r="R34" s="13">
        <f t="shared" si="7"/>
        <v>0</v>
      </c>
      <c r="S34" s="13">
        <f t="shared" si="8"/>
        <v>8400</v>
      </c>
      <c r="T34" s="13">
        <f t="shared" si="9"/>
        <v>26616.481227103322</v>
      </c>
    </row>
    <row r="35" spans="4:20" x14ac:dyDescent="0.5">
      <c r="K35" s="1">
        <f t="shared" si="3"/>
        <v>30</v>
      </c>
      <c r="L35" s="13">
        <f t="shared" si="4"/>
        <v>0</v>
      </c>
      <c r="M35" s="13">
        <f t="shared" si="0"/>
        <v>18216.481227103322</v>
      </c>
      <c r="N35" s="13">
        <f t="shared" si="1"/>
        <v>700.63389335012766</v>
      </c>
      <c r="O35" s="13">
        <f t="shared" si="5"/>
        <v>17515.847333753194</v>
      </c>
      <c r="P35" s="14">
        <f t="shared" si="6"/>
        <v>0</v>
      </c>
      <c r="Q35" s="13"/>
      <c r="R35" s="13">
        <f t="shared" si="7"/>
        <v>0</v>
      </c>
      <c r="S35" s="13">
        <f t="shared" si="8"/>
        <v>8400</v>
      </c>
      <c r="T35" s="13">
        <f t="shared" si="9"/>
        <v>26616.481227103322</v>
      </c>
    </row>
    <row r="36" spans="4:20" x14ac:dyDescent="0.5">
      <c r="K36" s="2" t="s">
        <v>30</v>
      </c>
      <c r="L36" s="2"/>
      <c r="M36" s="9">
        <f>SUM(M4:M35)</f>
        <v>546494.43681309978</v>
      </c>
      <c r="N36" s="9">
        <f>SUM(N4:N35)</f>
        <v>231494.4368130996</v>
      </c>
      <c r="O36" s="9">
        <f>SUM(O4:O35)</f>
        <v>315000.00000000006</v>
      </c>
      <c r="P36" s="9"/>
      <c r="Q36" s="2"/>
      <c r="R36" s="9">
        <f>SUM(R4:R35)</f>
        <v>17090.410244486338</v>
      </c>
      <c r="S36" s="9">
        <f>SUM(S4:S35)</f>
        <v>252000</v>
      </c>
      <c r="T36" s="9">
        <f>SUM(T4:T35)</f>
        <v>815584.8470575856</v>
      </c>
    </row>
    <row r="41" spans="4:20" x14ac:dyDescent="0.5">
      <c r="G4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2016-12-18T05:59:03Z</dcterms:created>
  <dcterms:modified xsi:type="dcterms:W3CDTF">2016-12-19T09:24:31Z</dcterms:modified>
</cp:coreProperties>
</file>